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66925"/>
  <mc:AlternateContent xmlns:mc="http://schemas.openxmlformats.org/markup-compatibility/2006">
    <mc:Choice Requires="x15">
      <x15ac:absPath xmlns:x15ac="http://schemas.microsoft.com/office/spreadsheetml/2010/11/ac" url="C:\Users\SimonMartinez-Poque\Desktop\updated forms for website\"/>
    </mc:Choice>
  </mc:AlternateContent>
  <xr:revisionPtr revIDLastSave="0" documentId="8_{12D00AE3-73F9-4110-BF41-46D608DD8E9F}" xr6:coauthVersionLast="41" xr6:coauthVersionMax="41" xr10:uidLastSave="{00000000-0000-0000-0000-000000000000}"/>
  <bookViews>
    <workbookView xWindow="5532" yWindow="684" windowWidth="23964" windowHeight="15516" tabRatio="828" activeTab="1" xr2:uid="{00000000-000D-0000-FFFF-FFFF00000000}"/>
  </bookViews>
  <sheets>
    <sheet name="Version" sheetId="2" r:id="rId1"/>
    <sheet name="Summary" sheetId="5" r:id="rId2"/>
    <sheet name="Receipts" sheetId="1" r:id="rId3"/>
    <sheet name="Utilization" sheetId="8" r:id="rId4"/>
    <sheet name="Total Area Sales" sheetId="10" r:id="rId5"/>
    <sheet name="Accountability for NFDM" sheetId="17" r:id="rId6"/>
    <sheet name="Cond. Skim Equiv Calculation" sheetId="15" r:id="rId7"/>
    <sheet name="FO Codes" sheetId="19" state="hidden" r:id="rId8"/>
    <sheet name="Qualifications" sheetId="16" r:id="rId9"/>
    <sheet name="Orders" sheetId="4" state="hidden" r:id="rId10"/>
    <sheet name="DropDownList" sheetId="7" state="hidden" r:id="rId11"/>
    <sheet name="Conversion Table" sheetId="14" state="hidden" r:id="rId12"/>
  </sheets>
  <externalReferences>
    <externalReference r:id="rId13"/>
  </externalReferences>
  <definedNames>
    <definedName name="CoopProductCode">DropDownList!$M$2:$M$5</definedName>
    <definedName name="ddl_FederalOrder">DropDownList!$F$2:$F$18</definedName>
    <definedName name="ddl_HandlerName">DropDownList!$C$2:$C$2108</definedName>
    <definedName name="ddl_ProductClass">DropDownList!$D$2:$D$6</definedName>
    <definedName name="MONTH">DropDownList!$B$2:$B$13</definedName>
    <definedName name="package">DropDownList!$S$2:$S$30</definedName>
    <definedName name="_xlnm.Print_Area" localSheetId="2">Receipts!$A$1:$L$102</definedName>
    <definedName name="_xlnm.Print_Area" localSheetId="4">'Total Area Sales'!$A$1:$D$40</definedName>
    <definedName name="_xlnm.Print_Area" localSheetId="3">Utilization!$A$1:$L$103</definedName>
    <definedName name="Receipts_ProductCode">DropDownList!$K$2:$K$77</definedName>
    <definedName name="Receipts_ProductCodeCoop">DropDownList!$L$2:$L$5</definedName>
    <definedName name="Receipts_ProductType">DropDownList!$I$2:$I$12</definedName>
    <definedName name="Receipts_ProductTypeCoop">DropDownList!$J$2:$J$3</definedName>
    <definedName name="Receipts_ReportCategory">DropDownList!$G$2:$G$15</definedName>
    <definedName name="Receipts_ReportCategoryCoop">DropDownList!$H$2:$H$6</definedName>
    <definedName name="rng_Handler">Summary!$G$10</definedName>
    <definedName name="rng_Order">Summary!$C$10</definedName>
    <definedName name="rng_Orders">tbl_Orders[Order]</definedName>
    <definedName name="rng_PoolEmail">Summary!$H$4</definedName>
    <definedName name="rng_ShrinkOverage_FP">Summary!$H$19</definedName>
    <definedName name="rng_ShrinkOverage_PP">Summary!$G$19</definedName>
    <definedName name="rng_TotalReceipts_FP">Summary!$H$13</definedName>
    <definedName name="rng_TotalReceipts_OSP">Summary!$J$13</definedName>
    <definedName name="rng_TotalReceipts_SCCV">Summary!$K$13</definedName>
    <definedName name="rng_TotalReceipts_TPP">Summary!$I$13</definedName>
    <definedName name="rng_TotalReceiptsPP">Summary!$G$13</definedName>
    <definedName name="rng_TotalUtilization_FP">Summary!$H$18</definedName>
    <definedName name="rng_TotalUtilization_OSP">Summary!$J$18</definedName>
    <definedName name="rng_TotalUtilization_SCCV">Summary!$K$18</definedName>
    <definedName name="rng_TotalUtilization_TPP">Summary!$I$18</definedName>
    <definedName name="rng_TotalUtilzation_PP">Summary!$G$18</definedName>
    <definedName name="rng_UPL_Code">Summary!$H$9</definedName>
    <definedName name="Route_Order">DropDownList!$E$2:$E$14</definedName>
    <definedName name="Utilization_ProductCode">DropDownList!$Q$2:$Q$108</definedName>
    <definedName name="Utilization_ProductCodeCoop">DropDownList!$R$2:$R$20</definedName>
    <definedName name="Utilization_ProductType">DropDownList!$O$2:$O$12</definedName>
    <definedName name="Utilization_ProductTypeCoop">DropDownList!$P$2:$P$7</definedName>
    <definedName name="Utilization_ReportCategory">DropDownList!$M$2:$M$15</definedName>
    <definedName name="Utilization_ReportCategoryCoop">DropDownList!$N$2:$N$5</definedName>
    <definedName name="YEAR">DropDownList!$A$2:$A$24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 i="5" l="1"/>
  <c r="H4" i="5"/>
  <c r="B7" i="1" l="1"/>
  <c r="B8" i="1"/>
  <c r="B9" i="1"/>
  <c r="B2" i="10" l="1"/>
  <c r="B7" i="8"/>
  <c r="B8" i="8"/>
  <c r="B9" i="8"/>
  <c r="B10" i="8"/>
  <c r="B11" i="8"/>
  <c r="B12" i="8"/>
  <c r="D77" i="17" l="1"/>
  <c r="K74" i="17" s="1"/>
  <c r="H9" i="8" s="1"/>
  <c r="D73" i="17"/>
  <c r="B11" i="1"/>
  <c r="B2" i="8" l="1"/>
  <c r="B1" i="8"/>
  <c r="B2" i="1"/>
  <c r="B1" i="1"/>
  <c r="K53" i="15"/>
  <c r="J53" i="15"/>
  <c r="K52" i="15"/>
  <c r="J52" i="15"/>
  <c r="K51" i="15"/>
  <c r="J51" i="15"/>
  <c r="K50" i="15"/>
  <c r="J50" i="15"/>
  <c r="K49" i="15"/>
  <c r="J49" i="15"/>
  <c r="K48" i="15"/>
  <c r="J48" i="15"/>
  <c r="K47" i="15"/>
  <c r="J47" i="15"/>
  <c r="K46" i="15"/>
  <c r="J46" i="15"/>
  <c r="K45" i="15"/>
  <c r="J45" i="15"/>
  <c r="K44" i="15"/>
  <c r="J44" i="15"/>
  <c r="K43" i="15"/>
  <c r="J43" i="15"/>
  <c r="K42" i="15"/>
  <c r="J42" i="15"/>
  <c r="K41" i="15"/>
  <c r="J41" i="15"/>
  <c r="K40" i="15"/>
  <c r="J40" i="15"/>
  <c r="K39" i="15"/>
  <c r="J39" i="15"/>
  <c r="K38" i="15"/>
  <c r="J38" i="15"/>
  <c r="K37" i="15"/>
  <c r="J37" i="15"/>
  <c r="K36" i="15"/>
  <c r="J36" i="15"/>
  <c r="O26" i="15"/>
  <c r="N26" i="15"/>
  <c r="M26" i="15"/>
  <c r="L26" i="15"/>
  <c r="K26" i="15"/>
  <c r="J26" i="15"/>
  <c r="O25" i="15"/>
  <c r="N25" i="15"/>
  <c r="M25" i="15"/>
  <c r="L25" i="15"/>
  <c r="K25" i="15"/>
  <c r="J25" i="15"/>
  <c r="O24" i="15"/>
  <c r="N24" i="15"/>
  <c r="M24" i="15"/>
  <c r="L24" i="15"/>
  <c r="K24" i="15"/>
  <c r="J24" i="15"/>
  <c r="O23" i="15"/>
  <c r="N23" i="15"/>
  <c r="M23" i="15"/>
  <c r="L23" i="15"/>
  <c r="K23" i="15"/>
  <c r="J23" i="15"/>
  <c r="O22" i="15"/>
  <c r="N22" i="15"/>
  <c r="M22" i="15"/>
  <c r="L22" i="15"/>
  <c r="K22" i="15"/>
  <c r="J22" i="15"/>
  <c r="O21" i="15"/>
  <c r="N21" i="15"/>
  <c r="M21" i="15"/>
  <c r="L21" i="15"/>
  <c r="K21" i="15"/>
  <c r="J21" i="15"/>
  <c r="O20" i="15"/>
  <c r="N20" i="15"/>
  <c r="M20" i="15"/>
  <c r="L20" i="15"/>
  <c r="K20" i="15"/>
  <c r="J20" i="15"/>
  <c r="O19" i="15"/>
  <c r="N19" i="15"/>
  <c r="M19" i="15"/>
  <c r="L19" i="15"/>
  <c r="K19" i="15"/>
  <c r="J19" i="15"/>
  <c r="O18" i="15"/>
  <c r="N18" i="15"/>
  <c r="M18" i="15"/>
  <c r="L18" i="15"/>
  <c r="K18" i="15"/>
  <c r="J18" i="15"/>
  <c r="O17" i="15"/>
  <c r="N17" i="15"/>
  <c r="M17" i="15"/>
  <c r="L17" i="15"/>
  <c r="K17" i="15"/>
  <c r="J17" i="15"/>
  <c r="O16" i="15"/>
  <c r="N16" i="15"/>
  <c r="M16" i="15"/>
  <c r="L16" i="15"/>
  <c r="K16" i="15"/>
  <c r="J16" i="15"/>
  <c r="O15" i="15"/>
  <c r="N15" i="15"/>
  <c r="M15" i="15"/>
  <c r="L15" i="15"/>
  <c r="K15" i="15"/>
  <c r="J15" i="15"/>
  <c r="O14" i="15"/>
  <c r="N14" i="15"/>
  <c r="M14" i="15"/>
  <c r="L14" i="15"/>
  <c r="K14" i="15"/>
  <c r="J14" i="15"/>
  <c r="O13" i="15"/>
  <c r="N13" i="15"/>
  <c r="M13" i="15"/>
  <c r="L13" i="15"/>
  <c r="K13" i="15"/>
  <c r="J13" i="15"/>
  <c r="O12" i="15"/>
  <c r="N12" i="15"/>
  <c r="M12" i="15"/>
  <c r="L12" i="15"/>
  <c r="K12" i="15"/>
  <c r="J12" i="15"/>
  <c r="O11" i="15"/>
  <c r="N11" i="15"/>
  <c r="M11" i="15"/>
  <c r="L11" i="15"/>
  <c r="K11" i="15"/>
  <c r="J11" i="15"/>
  <c r="O10" i="15"/>
  <c r="N10" i="15"/>
  <c r="M10" i="15"/>
  <c r="L10" i="15"/>
  <c r="K10" i="15"/>
  <c r="J10" i="15"/>
  <c r="O9" i="15"/>
  <c r="N9" i="15"/>
  <c r="M9" i="15"/>
  <c r="L9" i="15"/>
  <c r="K9" i="15"/>
  <c r="J9" i="15"/>
  <c r="O8" i="15"/>
  <c r="N8" i="15"/>
  <c r="K8" i="15"/>
  <c r="J8" i="15"/>
  <c r="M8" i="15"/>
  <c r="L8" i="15"/>
  <c r="B54" i="15"/>
  <c r="I53" i="15"/>
  <c r="F53" i="15"/>
  <c r="E53" i="15"/>
  <c r="G53" i="15" s="1"/>
  <c r="H53" i="15" s="1"/>
  <c r="I52" i="15"/>
  <c r="F52" i="15"/>
  <c r="E52" i="15"/>
  <c r="H52" i="15" s="1"/>
  <c r="I51" i="15"/>
  <c r="F51" i="15"/>
  <c r="E51" i="15"/>
  <c r="I50" i="15"/>
  <c r="F50" i="15"/>
  <c r="E50" i="15"/>
  <c r="G50" i="15" s="1"/>
  <c r="H50" i="15" s="1"/>
  <c r="I49" i="15"/>
  <c r="F49" i="15"/>
  <c r="E49" i="15"/>
  <c r="G49" i="15" s="1"/>
  <c r="H49" i="15" s="1"/>
  <c r="I48" i="15"/>
  <c r="F48" i="15"/>
  <c r="E48" i="15"/>
  <c r="I47" i="15"/>
  <c r="F47" i="15"/>
  <c r="E47" i="15"/>
  <c r="I46" i="15"/>
  <c r="F46" i="15"/>
  <c r="E46" i="15"/>
  <c r="G46" i="15" s="1"/>
  <c r="H46" i="15" s="1"/>
  <c r="I45" i="15"/>
  <c r="F45" i="15"/>
  <c r="E45" i="15"/>
  <c r="G45" i="15" s="1"/>
  <c r="H45" i="15" s="1"/>
  <c r="I44" i="15"/>
  <c r="F44" i="15"/>
  <c r="E44" i="15"/>
  <c r="I43" i="15"/>
  <c r="F43" i="15"/>
  <c r="E43" i="15"/>
  <c r="I42" i="15"/>
  <c r="F42" i="15"/>
  <c r="E42" i="15"/>
  <c r="G42" i="15" s="1"/>
  <c r="H42" i="15" s="1"/>
  <c r="I41" i="15"/>
  <c r="F41" i="15"/>
  <c r="E41" i="15"/>
  <c r="G41" i="15" s="1"/>
  <c r="H41" i="15" s="1"/>
  <c r="I40" i="15"/>
  <c r="F40" i="15"/>
  <c r="E40" i="15"/>
  <c r="H40" i="15" s="1"/>
  <c r="I39" i="15"/>
  <c r="F39" i="15"/>
  <c r="E39" i="15"/>
  <c r="I38" i="15"/>
  <c r="F38" i="15"/>
  <c r="E38" i="15"/>
  <c r="G38" i="15" s="1"/>
  <c r="H38" i="15" s="1"/>
  <c r="I37" i="15"/>
  <c r="F37" i="15"/>
  <c r="E37" i="15"/>
  <c r="I36" i="15"/>
  <c r="F36" i="15"/>
  <c r="E36" i="15"/>
  <c r="I35" i="15"/>
  <c r="J35" i="15" s="1"/>
  <c r="E35" i="15"/>
  <c r="B15" i="8"/>
  <c r="B14" i="8"/>
  <c r="B13" i="8"/>
  <c r="R26" i="15"/>
  <c r="P26" i="15"/>
  <c r="Q26" i="15" s="1"/>
  <c r="R25" i="15"/>
  <c r="P25" i="15"/>
  <c r="Q25" i="15" s="1"/>
  <c r="R24" i="15"/>
  <c r="P24" i="15"/>
  <c r="Q24" i="15" s="1"/>
  <c r="R23" i="15"/>
  <c r="P23" i="15"/>
  <c r="Q23" i="15" s="1"/>
  <c r="R22" i="15"/>
  <c r="P22" i="15"/>
  <c r="Q22" i="15" s="1"/>
  <c r="R21" i="15"/>
  <c r="P21" i="15"/>
  <c r="Q21" i="15" s="1"/>
  <c r="R20" i="15"/>
  <c r="P20" i="15"/>
  <c r="Q20" i="15" s="1"/>
  <c r="R19" i="15"/>
  <c r="P19" i="15"/>
  <c r="Q19" i="15" s="1"/>
  <c r="R18" i="15"/>
  <c r="P18" i="15"/>
  <c r="Q18" i="15" s="1"/>
  <c r="R17" i="15"/>
  <c r="P17" i="15"/>
  <c r="Q17" i="15" s="1"/>
  <c r="R16" i="15"/>
  <c r="P16" i="15"/>
  <c r="Q16" i="15" s="1"/>
  <c r="R15" i="15"/>
  <c r="P15" i="15"/>
  <c r="Q15" i="15" s="1"/>
  <c r="R14" i="15"/>
  <c r="P14" i="15"/>
  <c r="Q14" i="15" s="1"/>
  <c r="R13" i="15"/>
  <c r="P13" i="15"/>
  <c r="Q13" i="15" s="1"/>
  <c r="R12" i="15"/>
  <c r="P12" i="15"/>
  <c r="Q12" i="15" s="1"/>
  <c r="R11" i="15"/>
  <c r="P11" i="15"/>
  <c r="Q11" i="15" s="1"/>
  <c r="R10" i="15"/>
  <c r="P10" i="15"/>
  <c r="Q10" i="15" s="1"/>
  <c r="R9" i="15"/>
  <c r="P9" i="15"/>
  <c r="Q9" i="15" s="1"/>
  <c r="R8" i="15"/>
  <c r="P8" i="15"/>
  <c r="Q8" i="15" s="1"/>
  <c r="G48" i="15" l="1"/>
  <c r="H48" i="15" s="1"/>
  <c r="G52" i="15"/>
  <c r="G44" i="15"/>
  <c r="G40" i="15"/>
  <c r="H36" i="15"/>
  <c r="G37" i="15"/>
  <c r="H37" i="15" s="1"/>
  <c r="J54" i="15"/>
  <c r="G36" i="15"/>
  <c r="H51" i="15"/>
  <c r="H44" i="15"/>
  <c r="F35" i="15"/>
  <c r="K35" i="15" s="1"/>
  <c r="G39" i="15"/>
  <c r="H39" i="15" s="1"/>
  <c r="G43" i="15"/>
  <c r="H43" i="15" s="1"/>
  <c r="G47" i="15"/>
  <c r="H47" i="15" s="1"/>
  <c r="G51" i="15"/>
  <c r="Q27" i="15"/>
  <c r="G15" i="8" s="1"/>
  <c r="R27" i="15"/>
  <c r="H15" i="8" s="1"/>
  <c r="G35" i="15" l="1"/>
  <c r="H35" i="15" s="1"/>
  <c r="K54" i="15"/>
  <c r="B10" i="1"/>
  <c r="H11" i="8"/>
  <c r="D28" i="16" l="1"/>
  <c r="L24" i="16"/>
  <c r="L23" i="16"/>
  <c r="D27" i="16"/>
  <c r="D13" i="16"/>
  <c r="L29" i="16"/>
  <c r="L28" i="16"/>
  <c r="L22" i="16"/>
  <c r="L15" i="16" l="1"/>
  <c r="B4" i="8"/>
  <c r="B4" i="1"/>
  <c r="D8" i="16" l="1"/>
  <c r="L19" i="16"/>
  <c r="L16" i="16" l="1"/>
  <c r="L14" i="16"/>
  <c r="L13" i="16"/>
  <c r="L12" i="16"/>
  <c r="L7" i="16"/>
  <c r="L6" i="16"/>
  <c r="L3" i="16"/>
  <c r="L2" i="16"/>
  <c r="D69" i="17" l="1"/>
  <c r="K70" i="17" s="1"/>
  <c r="A4" i="17"/>
  <c r="H8" i="8" l="1"/>
  <c r="D4" i="17"/>
  <c r="K78" i="17" l="1"/>
  <c r="H10" i="8" s="1"/>
  <c r="D65" i="17"/>
  <c r="D57" i="17"/>
  <c r="D56" i="17"/>
  <c r="D44" i="17"/>
  <c r="D13" i="17"/>
  <c r="D53" i="17" s="1"/>
  <c r="D45" i="17" l="1"/>
  <c r="D58" i="17" s="1"/>
  <c r="D59" i="17" s="1"/>
  <c r="D49" i="17"/>
  <c r="D74" i="17" s="1"/>
  <c r="D54" i="17" l="1"/>
  <c r="J54" i="17" s="1"/>
  <c r="G10" i="1" s="1"/>
  <c r="K54" i="17"/>
  <c r="H10" i="1" s="1"/>
  <c r="J74" i="17"/>
  <c r="G9" i="8" s="1"/>
  <c r="D60" i="17"/>
  <c r="J60" i="17" s="1"/>
  <c r="G11" i="1" s="1"/>
  <c r="K50" i="17"/>
  <c r="H9" i="1" s="1"/>
  <c r="K60" i="17"/>
  <c r="H11" i="1" s="1"/>
  <c r="D66" i="17"/>
  <c r="J66" i="17" s="1"/>
  <c r="G11" i="8" s="1"/>
  <c r="D78" i="17"/>
  <c r="J78" i="17" s="1"/>
  <c r="G10" i="8" s="1"/>
  <c r="D50" i="17"/>
  <c r="J50" i="17" s="1"/>
  <c r="G9" i="1" s="1"/>
  <c r="D70" i="17"/>
  <c r="J70" i="17" l="1"/>
  <c r="G8" i="8" s="1"/>
  <c r="D29" i="16"/>
  <c r="L17" i="16" l="1"/>
  <c r="D7" i="16" s="1"/>
  <c r="D9" i="16" s="1"/>
  <c r="I26" i="15" l="1"/>
  <c r="I25" i="15"/>
  <c r="I24" i="15"/>
  <c r="I23" i="15"/>
  <c r="I22" i="15"/>
  <c r="I21" i="15"/>
  <c r="I20" i="15"/>
  <c r="I19" i="15"/>
  <c r="I18" i="15"/>
  <c r="I17" i="15"/>
  <c r="I16" i="15"/>
  <c r="I15" i="15"/>
  <c r="I14" i="15"/>
  <c r="I13" i="15"/>
  <c r="I12" i="15"/>
  <c r="I11" i="15"/>
  <c r="I10" i="15"/>
  <c r="I9" i="15"/>
  <c r="I8" i="15"/>
  <c r="J27" i="15" l="1"/>
  <c r="G12" i="8" s="1"/>
  <c r="F26" i="15"/>
  <c r="F25" i="15"/>
  <c r="F24" i="15"/>
  <c r="F23" i="15"/>
  <c r="F22" i="15"/>
  <c r="F21" i="15"/>
  <c r="F20" i="15"/>
  <c r="F19" i="15"/>
  <c r="F18" i="15"/>
  <c r="F17" i="15"/>
  <c r="F16" i="15"/>
  <c r="F15" i="15"/>
  <c r="F14" i="15"/>
  <c r="F13" i="15"/>
  <c r="F12" i="15"/>
  <c r="F11" i="15"/>
  <c r="F10" i="15"/>
  <c r="F9" i="15"/>
  <c r="B27" i="15"/>
  <c r="E26" i="15"/>
  <c r="E25" i="15"/>
  <c r="E24" i="15"/>
  <c r="E23" i="15"/>
  <c r="E22" i="15"/>
  <c r="E21" i="15"/>
  <c r="E20" i="15"/>
  <c r="E19" i="15"/>
  <c r="E18" i="15"/>
  <c r="E17" i="15"/>
  <c r="E16" i="15"/>
  <c r="E15" i="15"/>
  <c r="E14" i="15"/>
  <c r="E13" i="15"/>
  <c r="E12" i="15"/>
  <c r="E11" i="15"/>
  <c r="E10" i="15"/>
  <c r="E9" i="15"/>
  <c r="E8" i="15"/>
  <c r="F8" i="15" s="1"/>
  <c r="L27" i="15" l="1"/>
  <c r="G13" i="8" s="1"/>
  <c r="K27" i="15"/>
  <c r="H12" i="8" s="1"/>
  <c r="H15" i="5" s="1"/>
  <c r="N27" i="15"/>
  <c r="G14" i="8" s="1"/>
  <c r="G13" i="15"/>
  <c r="G25" i="15"/>
  <c r="H25" i="15" s="1"/>
  <c r="G21" i="15"/>
  <c r="H21" i="15" s="1"/>
  <c r="G17" i="15"/>
  <c r="H17" i="15" s="1"/>
  <c r="G9" i="15"/>
  <c r="H9" i="15" s="1"/>
  <c r="G23" i="15"/>
  <c r="H23" i="15" s="1"/>
  <c r="G11" i="15"/>
  <c r="H11" i="15" s="1"/>
  <c r="G15" i="15"/>
  <c r="H15" i="15" s="1"/>
  <c r="G19" i="15"/>
  <c r="H19" i="15" s="1"/>
  <c r="G12" i="15"/>
  <c r="H12" i="15" s="1"/>
  <c r="H13" i="15"/>
  <c r="G16" i="15"/>
  <c r="H16" i="15" s="1"/>
  <c r="G8" i="15"/>
  <c r="H8" i="15" s="1"/>
  <c r="G20" i="15"/>
  <c r="H20" i="15" s="1"/>
  <c r="G24" i="15"/>
  <c r="H24" i="15" s="1"/>
  <c r="G10" i="15"/>
  <c r="H10" i="15" s="1"/>
  <c r="G14" i="15"/>
  <c r="H14" i="15" s="1"/>
  <c r="G18" i="15"/>
  <c r="H18" i="15" s="1"/>
  <c r="G22" i="15"/>
  <c r="H22" i="15" s="1"/>
  <c r="G26" i="15"/>
  <c r="H26" i="15" s="1"/>
  <c r="B4" i="10"/>
  <c r="O27" i="15" l="1"/>
  <c r="H14" i="8" s="1"/>
  <c r="M27" i="15"/>
  <c r="H13" i="8" s="1"/>
  <c r="J17" i="5"/>
  <c r="J16" i="5"/>
  <c r="J15" i="5"/>
  <c r="J14" i="5"/>
  <c r="I17" i="5"/>
  <c r="I16" i="5"/>
  <c r="I15" i="5"/>
  <c r="I14" i="5"/>
  <c r="J18" i="5" l="1"/>
  <c r="I18" i="5"/>
  <c r="G15" i="5"/>
  <c r="B1" i="10" l="1"/>
  <c r="B3" i="10"/>
  <c r="C9" i="10" l="1"/>
  <c r="D9" i="10"/>
  <c r="C10" i="10"/>
  <c r="D16" i="16" s="1"/>
  <c r="D10" i="10"/>
  <c r="C11" i="10"/>
  <c r="D11" i="10"/>
  <c r="H7" i="8" s="1"/>
  <c r="H14" i="5" s="1"/>
  <c r="I5" i="8"/>
  <c r="J5" i="8"/>
  <c r="H5" i="1"/>
  <c r="I5" i="1"/>
  <c r="J5" i="1"/>
  <c r="G5" i="1"/>
  <c r="H5" i="8" l="1"/>
  <c r="D12" i="16"/>
  <c r="D14" i="16" s="1"/>
  <c r="D21" i="16" s="1"/>
  <c r="G7" i="8"/>
  <c r="H17" i="5"/>
  <c r="G17" i="5"/>
  <c r="H16" i="5"/>
  <c r="G16" i="5"/>
  <c r="D17" i="16" l="1"/>
  <c r="D20" i="16" s="1"/>
  <c r="G14" i="5"/>
  <c r="G18" i="5" s="1"/>
  <c r="K18" i="5" s="1"/>
  <c r="G5" i="8"/>
  <c r="H18" i="5"/>
  <c r="L18" i="5" s="1"/>
  <c r="B3" i="8"/>
  <c r="H13" i="5"/>
  <c r="I13" i="5"/>
  <c r="J13" i="5"/>
  <c r="G13" i="5"/>
  <c r="B3" i="1"/>
  <c r="C7" i="5" l="1"/>
  <c r="C6" i="5"/>
  <c r="C5" i="5"/>
  <c r="H9" i="5"/>
  <c r="G19" i="5" l="1"/>
  <c r="G20" i="5" s="1"/>
  <c r="H19" i="5"/>
  <c r="H20" i="5" s="1"/>
</calcChain>
</file>

<file path=xl/sharedStrings.xml><?xml version="1.0" encoding="utf-8"?>
<sst xmlns="http://schemas.openxmlformats.org/spreadsheetml/2006/main" count="1091" uniqueCount="693">
  <si>
    <t>qa</t>
  </si>
  <si>
    <t>Form:</t>
  </si>
  <si>
    <t>Pool Handler Report</t>
  </si>
  <si>
    <t>Replaces:  N/A</t>
  </si>
  <si>
    <t>OMB #:  0581-0032</t>
  </si>
  <si>
    <t>AMS-Dairy Program</t>
  </si>
  <si>
    <t>Owner:  Market Administrator</t>
  </si>
  <si>
    <t>Approved by:  Dairy Program</t>
  </si>
  <si>
    <t>According to the Paperwork Reduction Act of 1995, an agency may not conduct or sponsor, and a person is not required to respond to a collection of information unless it displays a valid OMB control number.  This valid OMB control number for this information collection is 0581-0032.  The time required to complete this information collection is estimated to average 1.5 hour(s) per response, including the time for reviewing instruction, searching existing data sources, gathering and maintaining the data needed, and completing and reviewing the collection of information.</t>
  </si>
  <si>
    <t>Federal Milk Marketing Orders/Offices</t>
  </si>
  <si>
    <t>Order</t>
  </si>
  <si>
    <t>Milk Marketing Area</t>
  </si>
  <si>
    <t>MA Office</t>
  </si>
  <si>
    <t>Phone</t>
  </si>
  <si>
    <t>Fax</t>
  </si>
  <si>
    <t>Email</t>
  </si>
  <si>
    <t>Address1</t>
  </si>
  <si>
    <t>Address2</t>
  </si>
  <si>
    <t>HomePage</t>
  </si>
  <si>
    <t>Non-Federal Order</t>
  </si>
  <si>
    <t>Northeast</t>
  </si>
  <si>
    <t>617-737-7199</t>
  </si>
  <si>
    <t>518-464-6468</t>
  </si>
  <si>
    <t>pool@fedmilk1.com</t>
  </si>
  <si>
    <t>P.O. Box 51478</t>
  </si>
  <si>
    <t>Boston, MA  02205-1478</t>
  </si>
  <si>
    <t>http://www.fmmone.com</t>
  </si>
  <si>
    <t>Appalachian</t>
  </si>
  <si>
    <t>502-499-0040</t>
  </si>
  <si>
    <t>502-499-8749</t>
  </si>
  <si>
    <t>pool@malouisville.com</t>
  </si>
  <si>
    <t>P.O. Box 91528</t>
  </si>
  <si>
    <t>Louisville, KY  40291-0528</t>
  </si>
  <si>
    <t>http://www.malouisville.com</t>
  </si>
  <si>
    <t>Florida</t>
  </si>
  <si>
    <t>Southeast &amp; Florida</t>
  </si>
  <si>
    <t>770-682-2501</t>
  </si>
  <si>
    <t>770-545-8850</t>
  </si>
  <si>
    <t>pool@fmmatlanta.com</t>
  </si>
  <si>
    <t>2763 Meadow Church Road, Suite 100</t>
  </si>
  <si>
    <t>Duluth, GA  30097</t>
  </si>
  <si>
    <t>http://www.fmmatlanta.com</t>
  </si>
  <si>
    <t>Southeast</t>
  </si>
  <si>
    <t>FL_Pool@fmmatlanta.com</t>
  </si>
  <si>
    <t>Upper Midwest</t>
  </si>
  <si>
    <t>952-831-5292</t>
  </si>
  <si>
    <t>952-831-8249</t>
  </si>
  <si>
    <t>pool@fmma30.com</t>
  </si>
  <si>
    <t>1600 West 82nd Street - Suite 200</t>
  </si>
  <si>
    <t>Minneapolis, MN  55431-1420</t>
  </si>
  <si>
    <t>http://www.fmma30.com</t>
  </si>
  <si>
    <t>Central</t>
  </si>
  <si>
    <t>913-495-9300</t>
  </si>
  <si>
    <t>913-888-9207</t>
  </si>
  <si>
    <t>pool@fmmacentral.com</t>
  </si>
  <si>
    <t>P.O. Box 14650</t>
  </si>
  <si>
    <t>Shawnee Mission, KS  66285-4650</t>
  </si>
  <si>
    <t>http://www.fmmacentral.com</t>
  </si>
  <si>
    <t>Mideast</t>
  </si>
  <si>
    <t>330-225-4758</t>
  </si>
  <si>
    <t>330-220-6675</t>
  </si>
  <si>
    <t>pool@fmmaclev.com</t>
  </si>
  <si>
    <t>P.O. Box 5102</t>
  </si>
  <si>
    <t>Brunswick, OH  44212</t>
  </si>
  <si>
    <t>http://www.fmmaclev.com</t>
  </si>
  <si>
    <t>California</t>
  </si>
  <si>
    <t>Pacific Northwest</t>
  </si>
  <si>
    <t>Pacific Northwest &amp; Arizona</t>
  </si>
  <si>
    <t>425-487-6009</t>
  </si>
  <si>
    <t>425-487-2775</t>
  </si>
  <si>
    <t>fmmaseattle@fmmaseattle.com</t>
  </si>
  <si>
    <t>1930 - 220th Street, S.E., Suite 102</t>
  </si>
  <si>
    <t>Bothell, WA  98021-8471</t>
  </si>
  <si>
    <t>http://www.fmmaseattle.com</t>
  </si>
  <si>
    <t>Southwest</t>
  </si>
  <si>
    <t>972-245-6060</t>
  </si>
  <si>
    <t>972-245-3211</t>
  </si>
  <si>
    <t>sw.pool@dallasma.com</t>
  </si>
  <si>
    <t>P.O. Box 110939</t>
  </si>
  <si>
    <t>Carrollton, TX  75011-0939</t>
  </si>
  <si>
    <t>http://www.dallasma.com</t>
  </si>
  <si>
    <t>Arizona</t>
  </si>
  <si>
    <t>Phone:</t>
  </si>
  <si>
    <t>Pool Fax:</t>
  </si>
  <si>
    <t>Pool Email:</t>
  </si>
  <si>
    <t>Address:</t>
  </si>
  <si>
    <t>Home Page:</t>
  </si>
  <si>
    <t>United States Department of Agriculture</t>
  </si>
  <si>
    <t>Agricultural Marketing Service</t>
  </si>
  <si>
    <t>Dairy Programs</t>
  </si>
  <si>
    <t>Year</t>
  </si>
  <si>
    <t>Month</t>
  </si>
  <si>
    <t>Handler</t>
  </si>
  <si>
    <t>01</t>
  </si>
  <si>
    <t>Summary</t>
  </si>
  <si>
    <t>Product_lbs</t>
  </si>
  <si>
    <t>Fat_lbs</t>
  </si>
  <si>
    <t>TP_lbs</t>
  </si>
  <si>
    <t>OS_lbs</t>
  </si>
  <si>
    <t>TOTAL RECEIPTS</t>
  </si>
  <si>
    <t>CLASS 1 UTILIZATION</t>
  </si>
  <si>
    <t>CLASS 2 UTILIZATION</t>
  </si>
  <si>
    <t>CLASS 3 UTILIZATION</t>
  </si>
  <si>
    <t>CLASS 4 UTILIZATION</t>
  </si>
  <si>
    <t>TOTAL UTILIZATION</t>
  </si>
  <si>
    <t>SHRINKAGE (OVERAGE)</t>
  </si>
  <si>
    <t>SHRINKAGE (OVERAGE) %</t>
  </si>
  <si>
    <t xml:space="preserve">          This report is required by the Order in accordance with 7 U.S.C. 608c and d.  Failure to report can result in the assessment of a civil penalty of up to $1,000 per day (7 U.S.C. (14) (B) ) or, upon conviction, in a fine of up to $5,000 per day (7 U.S.C. 608c (14) (A) ).</t>
  </si>
  <si>
    <t xml:space="preserve">          I declare under the penalties provided by law, that this report (including any accompanying schedules and statements) has been examined by me and to the best of my knowledge and belief is a true, correct and complete report.  I also certify that I am authorized to sign this report.</t>
  </si>
  <si>
    <t>/s/</t>
  </si>
  <si>
    <t>(Person Authorized to Sign for Handler)</t>
  </si>
  <si>
    <t>(Date)</t>
  </si>
  <si>
    <t>Receipts</t>
  </si>
  <si>
    <t>Plant :</t>
  </si>
  <si>
    <t>Order :</t>
  </si>
  <si>
    <t>Pool Date :</t>
  </si>
  <si>
    <t>Report Category</t>
  </si>
  <si>
    <t>Broker Name</t>
  </si>
  <si>
    <t>Notes</t>
  </si>
  <si>
    <t>Totals</t>
  </si>
  <si>
    <t>Butterfat 
Pounds</t>
  </si>
  <si>
    <t>Protein 
Pounds</t>
  </si>
  <si>
    <t>Other Solid 
Pounds</t>
  </si>
  <si>
    <t>Product 
Code</t>
  </si>
  <si>
    <t>Product 
Type</t>
  </si>
  <si>
    <t>From 
Order No.</t>
  </si>
  <si>
    <t>From 
Handler Name</t>
  </si>
  <si>
    <t>Handler_Name</t>
  </si>
  <si>
    <t>Product Class</t>
  </si>
  <si>
    <t>Federal Order</t>
  </si>
  <si>
    <t>Receipts - Report Category</t>
  </si>
  <si>
    <t>Receipts - Product Type</t>
  </si>
  <si>
    <t>Receipts - Product Code</t>
  </si>
  <si>
    <t>Utilization - Report Category</t>
  </si>
  <si>
    <t>Utilization - Product Type</t>
  </si>
  <si>
    <t>Utilization - Product Code</t>
  </si>
  <si>
    <t>PM</t>
  </si>
  <si>
    <t>Diversion @FWT</t>
  </si>
  <si>
    <t>Bulk Concentrate</t>
  </si>
  <si>
    <t>Bulk Cream</t>
  </si>
  <si>
    <t>Diversion @PWT</t>
  </si>
  <si>
    <t>Bulk Milk</t>
  </si>
  <si>
    <t>Fluid Skim Equivalent</t>
  </si>
  <si>
    <t>Inventory</t>
  </si>
  <si>
    <t>Label Reconstituted FMP</t>
  </si>
  <si>
    <t>Member-MktSvc</t>
  </si>
  <si>
    <t>NonFluid - Class 2</t>
  </si>
  <si>
    <t>Miscellaneous</t>
  </si>
  <si>
    <t>Member-NoMktSvc</t>
  </si>
  <si>
    <t>NonFluid - Class 3</t>
  </si>
  <si>
    <t>Nonfluid Used To Produce</t>
  </si>
  <si>
    <t>NonFluid - Class 4</t>
  </si>
  <si>
    <t>Nonfluid Used To Recon:Pool Order</t>
  </si>
  <si>
    <t>Transfer Bulk</t>
  </si>
  <si>
    <t>Packaged Milk</t>
  </si>
  <si>
    <t>NonMember-MktSvc</t>
  </si>
  <si>
    <t>Transfer Packaged</t>
  </si>
  <si>
    <t>NonMember-NoMktSvc</t>
  </si>
  <si>
    <t>Producer Milk Bulk Milk</t>
  </si>
  <si>
    <t>Own Farm Production</t>
  </si>
  <si>
    <t>Unidentified</t>
  </si>
  <si>
    <t>Producer Milk</t>
  </si>
  <si>
    <t>Utilization</t>
  </si>
  <si>
    <t>Product Pounds</t>
  </si>
  <si>
    <t>To
Handler Name</t>
  </si>
  <si>
    <t>To
Order No.</t>
  </si>
  <si>
    <t>Area Sales</t>
  </si>
  <si>
    <t>Package</t>
  </si>
  <si>
    <t>Total In</t>
  </si>
  <si>
    <t>Total Out</t>
  </si>
  <si>
    <t>Utilization - Coop Product Code</t>
  </si>
  <si>
    <t>08</t>
  </si>
  <si>
    <t>09</t>
  </si>
  <si>
    <t>06</t>
  </si>
  <si>
    <t>05</t>
  </si>
  <si>
    <t>02</t>
  </si>
  <si>
    <t>Receipts - Report Category Coop</t>
  </si>
  <si>
    <t>Receipts - Product Type Coop</t>
  </si>
  <si>
    <t>Receipts - Product Code Coop</t>
  </si>
  <si>
    <t>Utilization - Report Category Coop</t>
  </si>
  <si>
    <t>Utilization - Product Type Coop</t>
  </si>
  <si>
    <t>YRMO :</t>
  </si>
  <si>
    <t>03</t>
  </si>
  <si>
    <t>04</t>
  </si>
  <si>
    <t>07</t>
  </si>
  <si>
    <t>10</t>
  </si>
  <si>
    <t>11</t>
  </si>
  <si>
    <t>12</t>
  </si>
  <si>
    <t xml:space="preserve">Used To Produce                    </t>
  </si>
  <si>
    <t xml:space="preserve">Nonfluid Used To Reconstitute      </t>
  </si>
  <si>
    <t xml:space="preserve">Nonfluid Used To Recon:Other Order </t>
  </si>
  <si>
    <t xml:space="preserve">Miscellaneous                      </t>
  </si>
  <si>
    <t xml:space="preserve">NonFluid Unaccounted Powder        </t>
  </si>
  <si>
    <t xml:space="preserve">Manufactured Products              </t>
  </si>
  <si>
    <t xml:space="preserve">Animal Feed                        </t>
  </si>
  <si>
    <t xml:space="preserve">Accidental Loss                    </t>
  </si>
  <si>
    <t xml:space="preserve">Ineligible Producer Milk           </t>
  </si>
  <si>
    <t xml:space="preserve">Reverse Osmosis                    </t>
  </si>
  <si>
    <t xml:space="preserve">Ultra Filtration                   </t>
  </si>
  <si>
    <t xml:space="preserve">Bulk Cream                         </t>
  </si>
  <si>
    <t xml:space="preserve">Bulk Milk                          </t>
  </si>
  <si>
    <t xml:space="preserve">Bulk Milk Raw                      </t>
  </si>
  <si>
    <t xml:space="preserve">Bulk Ultra Filtration              </t>
  </si>
  <si>
    <t xml:space="preserve">Bulk-Buttermilk                    </t>
  </si>
  <si>
    <t xml:space="preserve">Bulk-Concentrated Milk             </t>
  </si>
  <si>
    <t xml:space="preserve">Bulk-Eggnog                        </t>
  </si>
  <si>
    <t xml:space="preserve">Bulk-Low Fat                       </t>
  </si>
  <si>
    <t xml:space="preserve">Bulk-Nonfat                        </t>
  </si>
  <si>
    <t xml:space="preserve">Bulk-Reduced Fat                   </t>
  </si>
  <si>
    <t xml:space="preserve">Bulk-Skim Cond.-UnSweet            </t>
  </si>
  <si>
    <t xml:space="preserve">Bulk-Whole Cond.-UnSweet           </t>
  </si>
  <si>
    <t xml:space="preserve">Bulk-Whole Milk                    </t>
  </si>
  <si>
    <t xml:space="preserve">Buttermilk-Organic                 </t>
  </si>
  <si>
    <t xml:space="preserve">Buttermilk-Plain                   </t>
  </si>
  <si>
    <t xml:space="preserve">Buttermilk-Whole                   </t>
  </si>
  <si>
    <t xml:space="preserve">Drinkable Yogurt                   </t>
  </si>
  <si>
    <t xml:space="preserve">Eggnog                             </t>
  </si>
  <si>
    <t xml:space="preserve">FatFree-Fortified                  </t>
  </si>
  <si>
    <t xml:space="preserve">FatFree-Plain                      </t>
  </si>
  <si>
    <t xml:space="preserve">Flavored Drink                     </t>
  </si>
  <si>
    <t xml:space="preserve">Flavored Milk                      </t>
  </si>
  <si>
    <t xml:space="preserve">Lactose-free Fat Free              </t>
  </si>
  <si>
    <t xml:space="preserve">Lactose-free Low Fat               </t>
  </si>
  <si>
    <t xml:space="preserve">Lactose-free Reduced Fat           </t>
  </si>
  <si>
    <t xml:space="preserve">Lactose-free Whole                 </t>
  </si>
  <si>
    <t xml:space="preserve">Lowfat 1% Fortified                </t>
  </si>
  <si>
    <t xml:space="preserve">Lowfat 1% Plain                    </t>
  </si>
  <si>
    <t xml:space="preserve">Milkshake &lt; half gallon            </t>
  </si>
  <si>
    <t xml:space="preserve">Nongrade A                         </t>
  </si>
  <si>
    <t xml:space="preserve">Organic Fat Free Milk (Skim)       </t>
  </si>
  <si>
    <t xml:space="preserve">Organic Fat Reduced Milk Products  </t>
  </si>
  <si>
    <t xml:space="preserve">Organic Flavored Fat Reduced Milk  </t>
  </si>
  <si>
    <t xml:space="preserve">Organic Flavored Whole Milk        </t>
  </si>
  <si>
    <t xml:space="preserve">Organic Low Fat Milk (1%)          </t>
  </si>
  <si>
    <t xml:space="preserve">Organic Reduced Fat Milk (2%)      </t>
  </si>
  <si>
    <t xml:space="preserve">Organic Whole Milk Products        </t>
  </si>
  <si>
    <t xml:space="preserve">Packaged  Milk                     </t>
  </si>
  <si>
    <t xml:space="preserve">Producer Milk                      </t>
  </si>
  <si>
    <t xml:space="preserve">Reduced Fat 2% Fortified           </t>
  </si>
  <si>
    <t xml:space="preserve">Reduced Fat 2% Plain               </t>
  </si>
  <si>
    <t xml:space="preserve">Reduced Fat Low Carb               </t>
  </si>
  <si>
    <t xml:space="preserve">Skim Milk Powder                   </t>
  </si>
  <si>
    <t xml:space="preserve">Unidentified                       </t>
  </si>
  <si>
    <t xml:space="preserve">Whole Low Carb                     </t>
  </si>
  <si>
    <t xml:space="preserve">Whole Milk                         </t>
  </si>
  <si>
    <t xml:space="preserve">Whole Milk Powder                  </t>
  </si>
  <si>
    <t xml:space="preserve">Bulk Concentrate                   </t>
  </si>
  <si>
    <t xml:space="preserve">Dumped                             </t>
  </si>
  <si>
    <t xml:space="preserve">Commercial Food-Cream              </t>
  </si>
  <si>
    <t xml:space="preserve">Commercial Food-Milk               </t>
  </si>
  <si>
    <t xml:space="preserve">Diversion @FWT                     </t>
  </si>
  <si>
    <t xml:space="preserve">Diversion @PWT                     </t>
  </si>
  <si>
    <t xml:space="preserve">Fluid Skim Equivalent              </t>
  </si>
  <si>
    <t xml:space="preserve">Inventory                          </t>
  </si>
  <si>
    <t>Labeled Recon. FMP Disposed as Cl I</t>
  </si>
  <si>
    <t xml:space="preserve">Nonfluid Used To Produce           </t>
  </si>
  <si>
    <t xml:space="preserve">Route Disposition Class I          </t>
  </si>
  <si>
    <t xml:space="preserve">Transfer Bulk                      </t>
  </si>
  <si>
    <t xml:space="preserve">Transfer Packaged                  </t>
  </si>
  <si>
    <t xml:space="preserve">-                                  </t>
  </si>
  <si>
    <t xml:space="preserve">Packaged Milk                      </t>
  </si>
  <si>
    <t xml:space="preserve">Aerated Cream                      </t>
  </si>
  <si>
    <t xml:space="preserve">Anhydrous Milkfat                  </t>
  </si>
  <si>
    <t xml:space="preserve">Bulk-Skim Cond.-Sweet              </t>
  </si>
  <si>
    <t xml:space="preserve">Bulk-Whole Cond.-Sweet             </t>
  </si>
  <si>
    <t xml:space="preserve">Butter                             </t>
  </si>
  <si>
    <t xml:space="preserve">Buttermilk Blend                   </t>
  </si>
  <si>
    <t xml:space="preserve">Buttermilk Powder                  </t>
  </si>
  <si>
    <t xml:space="preserve">Butteroil                          </t>
  </si>
  <si>
    <t xml:space="preserve">Calcium Caseinate                  </t>
  </si>
  <si>
    <t xml:space="preserve">Cheese-American                    </t>
  </si>
  <si>
    <t xml:space="preserve">Cheese-Cheddar                     </t>
  </si>
  <si>
    <t xml:space="preserve">Cheese-Italian                     </t>
  </si>
  <si>
    <t xml:space="preserve">Cheese-Other                       </t>
  </si>
  <si>
    <t xml:space="preserve">Commercial Food-Packaged           </t>
  </si>
  <si>
    <t xml:space="preserve">Cottage Cheese                     </t>
  </si>
  <si>
    <t xml:space="preserve">Cream Cheese                       </t>
  </si>
  <si>
    <t xml:space="preserve">Cream Heavy                        </t>
  </si>
  <si>
    <t xml:space="preserve">Cream Light                        </t>
  </si>
  <si>
    <t xml:space="preserve">Creamers                           </t>
  </si>
  <si>
    <t xml:space="preserve">Drinkable Yogurt (Class II)        </t>
  </si>
  <si>
    <t xml:space="preserve">Eggnog-UTP                         </t>
  </si>
  <si>
    <t xml:space="preserve">Frozen Cream                       </t>
  </si>
  <si>
    <t xml:space="preserve">Half &amp; Half                        </t>
  </si>
  <si>
    <t xml:space="preserve">Hard Cheese                        </t>
  </si>
  <si>
    <t xml:space="preserve">Ice Cream (&amp; Mix)                  </t>
  </si>
  <si>
    <t xml:space="preserve">Lactose                            </t>
  </si>
  <si>
    <t xml:space="preserve">Milk Protein Conc 42               </t>
  </si>
  <si>
    <t xml:space="preserve">Milk Protein Conc 56               </t>
  </si>
  <si>
    <t xml:space="preserve">Milk Protein Conc 70               </t>
  </si>
  <si>
    <t xml:space="preserve">Milk Protein Conc 75               </t>
  </si>
  <si>
    <t xml:space="preserve">Milk Protein Conc 80               </t>
  </si>
  <si>
    <t xml:space="preserve">Milk Protein Conc 85               </t>
  </si>
  <si>
    <t xml:space="preserve">Milk Protein Conc 90               </t>
  </si>
  <si>
    <t xml:space="preserve">Milk Protein Isol 85               </t>
  </si>
  <si>
    <t xml:space="preserve">Milk Protein Isol 90               </t>
  </si>
  <si>
    <t xml:space="preserve">Other Baking Products              </t>
  </si>
  <si>
    <t xml:space="preserve">Other Class II Beverages           </t>
  </si>
  <si>
    <t xml:space="preserve">Packaged-Skim Cond.-Sweet          </t>
  </si>
  <si>
    <t xml:space="preserve">Packaged-Skim Cond.-UnSweet        </t>
  </si>
  <si>
    <t xml:space="preserve">Packaged-Whole Cond.-Sweet         </t>
  </si>
  <si>
    <t xml:space="preserve">Packaged-Whole Cond.-UnSweet       </t>
  </si>
  <si>
    <t xml:space="preserve">Plastic Cream                      </t>
  </si>
  <si>
    <t xml:space="preserve">Prepared Foods                     </t>
  </si>
  <si>
    <t xml:space="preserve">Rennet Casein                      </t>
  </si>
  <si>
    <t xml:space="preserve">Ricotta Cheese                     </t>
  </si>
  <si>
    <t xml:space="preserve">Sodium Caseinate                   </t>
  </si>
  <si>
    <t xml:space="preserve">Sour Cream &amp; Dips                  </t>
  </si>
  <si>
    <t xml:space="preserve">Whey Powder                        </t>
  </si>
  <si>
    <t xml:space="preserve">Whey Powder 35                     </t>
  </si>
  <si>
    <t xml:space="preserve">Whey Powder 50                     </t>
  </si>
  <si>
    <t xml:space="preserve">Whey Powder 65                     </t>
  </si>
  <si>
    <t xml:space="preserve">Whey Powder 80                     </t>
  </si>
  <si>
    <t xml:space="preserve">Yogurt                             </t>
  </si>
  <si>
    <t xml:space="preserve">Organic Eggnog                     </t>
  </si>
  <si>
    <t xml:space="preserve">Nonfluid Used To Recon:Pool Order  </t>
  </si>
  <si>
    <t xml:space="preserve">Other Soft Cheese                  </t>
  </si>
  <si>
    <t xml:space="preserve">Packaged Milk:Label Reconstitution </t>
  </si>
  <si>
    <t xml:space="preserve">Label Reconstituted FMP            </t>
  </si>
  <si>
    <t>530-662-2037</t>
  </si>
  <si>
    <t>844-206-7024</t>
  </si>
  <si>
    <t>pool@cafmmo.com</t>
  </si>
  <si>
    <t>221 W. Court Street, Suite 3B</t>
  </si>
  <si>
    <t>Woodland, CA 95695-2983</t>
  </si>
  <si>
    <t>http://www.cafmmo.com</t>
  </si>
  <si>
    <t>Routes Sales FO</t>
  </si>
  <si>
    <t>% Total Solids</t>
  </si>
  <si>
    <t>Butterfat Test</t>
  </si>
  <si>
    <t>Weight per Gallon</t>
  </si>
  <si>
    <t>Skim Equivalent Factor</t>
  </si>
  <si>
    <t>Class IV Skim Equivalent Factor</t>
  </si>
  <si>
    <t>Note - Enter in Yellow cells</t>
  </si>
  <si>
    <t>Skim Equivalent</t>
  </si>
  <si>
    <t>Total Solids Lbs</t>
  </si>
  <si>
    <t>Solids Not Fat %</t>
  </si>
  <si>
    <t>Solids Not Fat Lbs</t>
  </si>
  <si>
    <t>Product Lbs</t>
  </si>
  <si>
    <t>Butterfat Lbs</t>
  </si>
  <si>
    <t>*The butterfat is included in the finished product test</t>
  </si>
  <si>
    <t>PP</t>
  </si>
  <si>
    <t>A</t>
  </si>
  <si>
    <t>FEDERAL ORDER 51</t>
  </si>
  <si>
    <t>*</t>
  </si>
  <si>
    <t>DETERMINATION OF POOL PLANT QUALIFICATION SECTION 1051.7</t>
  </si>
  <si>
    <t>DISTRIBUTING PLANT</t>
  </si>
  <si>
    <t>RECEIPTS - FLUID MILK PRODUCTS</t>
  </si>
  <si>
    <t>TOTAL FLUID MILK PRODUCTS</t>
  </si>
  <si>
    <t>LESS: NET DIVERTED TO OTHER PLANTS</t>
  </si>
  <si>
    <t>TOTAL</t>
  </si>
  <si>
    <t>B</t>
  </si>
  <si>
    <t>DISPOSITION - PACKAGED FLUID MILK PRODUCTS</t>
  </si>
  <si>
    <t>TOTAL ROUTE SALES</t>
  </si>
  <si>
    <t>ADD: SALES TO OTHER PLANTS</t>
  </si>
  <si>
    <t>C</t>
  </si>
  <si>
    <t>LESS: TOTAL DISPOSED OF OUTSIDE MARKETING AREA</t>
  </si>
  <si>
    <t>TOTAL IN AREA</t>
  </si>
  <si>
    <t>D</t>
  </si>
  <si>
    <t>Total FMP</t>
  </si>
  <si>
    <t>Diverted to other plants</t>
  </si>
  <si>
    <r>
      <rPr>
        <b/>
        <sz val="11"/>
        <color theme="1"/>
        <rFont val="Calibri"/>
        <family val="2"/>
        <scheme val="minor"/>
      </rPr>
      <t>(D)</t>
    </r>
    <r>
      <rPr>
        <sz val="11"/>
        <color theme="1"/>
        <rFont val="Calibri"/>
        <family val="2"/>
        <scheme val="minor"/>
      </rPr>
      <t xml:space="preserve"> DIVIDED BY</t>
    </r>
    <r>
      <rPr>
        <b/>
        <sz val="11"/>
        <color theme="1"/>
        <rFont val="Calibri"/>
        <family val="2"/>
        <scheme val="minor"/>
      </rPr>
      <t xml:space="preserve"> (C) </t>
    </r>
    <r>
      <rPr>
        <sz val="11"/>
        <color theme="1"/>
        <rFont val="Calibri"/>
        <family val="2"/>
        <scheme val="minor"/>
      </rPr>
      <t>EQUALS PERCENT IN MARKETING AREA (COMPUTE ON COMBINED TOTALS)</t>
    </r>
  </si>
  <si>
    <r>
      <rPr>
        <b/>
        <sz val="11"/>
        <color theme="1"/>
        <rFont val="Calibri"/>
        <family val="2"/>
        <scheme val="minor"/>
      </rPr>
      <t>(C)</t>
    </r>
    <r>
      <rPr>
        <sz val="11"/>
        <color theme="1"/>
        <rFont val="Calibri"/>
        <family val="2"/>
        <scheme val="minor"/>
      </rPr>
      <t xml:space="preserve"> DIVIDED BY </t>
    </r>
    <r>
      <rPr>
        <b/>
        <sz val="11"/>
        <color theme="1"/>
        <rFont val="Calibri"/>
        <family val="2"/>
        <scheme val="minor"/>
      </rPr>
      <t>(B)</t>
    </r>
    <r>
      <rPr>
        <sz val="11"/>
        <color theme="1"/>
        <rFont val="Calibri"/>
        <family val="2"/>
        <scheme val="minor"/>
      </rPr>
      <t xml:space="preserve"> EQUALS PERCENT OF ROUTE SALES (COMPUTE ON COMBINED TOTALS)</t>
    </r>
  </si>
  <si>
    <t>**</t>
  </si>
  <si>
    <t>* ROUTE DISP. &amp; PKGD. TRANSFERS IN THE MARKETING AREA MUST BE 25% OF THE TOTAL ROUTE DISP. AND PKGD. TRANSFERS</t>
  </si>
  <si>
    <t>** TOTAL ROUTE DISP. &amp; PKGD. TRANS. MUST BE 25% OF THE TOTAL QUANTITY OF FLUID MILK PRODUCTS PHYSICALLY RECEIVED AT THE PLANT</t>
  </si>
  <si>
    <t>SECTION 1051.7(A) &amp; (B) MINIMUM DELIVERY REQUIREMENT PER SECTION 1051.13(D)(3)</t>
  </si>
  <si>
    <t>TOTAL PRODUCER AND SECTION 1000.9(C) RECEIPTS</t>
  </si>
  <si>
    <t>E</t>
  </si>
  <si>
    <t>QUANTITY OF BULK FLUID MILK PRODUCTS DIVERTED TO NONPOOL PLANTS</t>
  </si>
  <si>
    <t>F</t>
  </si>
  <si>
    <t>***</t>
  </si>
  <si>
    <t>(F) DIVIDED BY (E) EQUALS PERCENT DIVERTED TO NONPOOL PLANTS 87.81% ***</t>
  </si>
  <si>
    <t>*** QUANTITY OF MILK DIVERTED TO NONPOOL PLANTS MAY NOT EXCEED 90% OF THE GRADE A MILK RECEIVED FROM DAIRY FARMERS</t>
  </si>
  <si>
    <t>RECONCILIATION OF NONFAT DRY MILK</t>
  </si>
  <si>
    <t>Note - Enter in Yellow Cells</t>
  </si>
  <si>
    <t>Handler:</t>
  </si>
  <si>
    <t>Month/ Year:</t>
  </si>
  <si>
    <t>Computation of Nonfluid Loss or (Gain)</t>
  </si>
  <si>
    <t>NFDM Pounds</t>
  </si>
  <si>
    <t>Non-Standard Factors*</t>
  </si>
  <si>
    <t>Standard Factors</t>
  </si>
  <si>
    <t>Beginning Inventory</t>
  </si>
  <si>
    <t>Butterfat Percent **</t>
  </si>
  <si>
    <t>Manufactured</t>
  </si>
  <si>
    <t>Fluid Equivalent Factor</t>
  </si>
  <si>
    <t>Purchased</t>
  </si>
  <si>
    <t>Class IV Fluid Equiv. Factor</t>
  </si>
  <si>
    <t>Sold</t>
  </si>
  <si>
    <t>*Standard Factors will be applied unless a Non-Standard Factor is entered in the blue shaded area.</t>
  </si>
  <si>
    <t>Dumped/Destroyed</t>
  </si>
  <si>
    <t>Ending Inventory</t>
  </si>
  <si>
    <t>** Butterfat percent is calculated per Pound of Powder.</t>
  </si>
  <si>
    <t>Total to Account For</t>
  </si>
  <si>
    <t>Nonfat Dry Milk Used to Fortify Class I</t>
  </si>
  <si>
    <t>Whole Milk</t>
  </si>
  <si>
    <t>2% Milk</t>
  </si>
  <si>
    <t>1% Milk</t>
  </si>
  <si>
    <t>Skim Milk</t>
  </si>
  <si>
    <t>Buttermilk</t>
  </si>
  <si>
    <t>Eggnog</t>
  </si>
  <si>
    <t>Flavored Milk &amp; Drinks</t>
  </si>
  <si>
    <t>Packaged Half-n-Half</t>
  </si>
  <si>
    <t>Packaged Heavy Cream over 27%</t>
  </si>
  <si>
    <t>Sour Cream</t>
  </si>
  <si>
    <t>Yogurt</t>
  </si>
  <si>
    <t>Drinkable Yogurt &amp; Keifer</t>
  </si>
  <si>
    <t>Dips</t>
  </si>
  <si>
    <t>Cottage Cheese, etc.</t>
  </si>
  <si>
    <t>Ice Cream, etc.</t>
  </si>
  <si>
    <t>Nonfluid Used to Produce Class IV:</t>
  </si>
  <si>
    <t>Butter</t>
  </si>
  <si>
    <t>Total Accounted for</t>
  </si>
  <si>
    <t>Loss (Gain)</t>
  </si>
  <si>
    <t>Computation of Receipts of Nonfat Dry Milk</t>
  </si>
  <si>
    <t>Pounds</t>
  </si>
  <si>
    <t>Used in Class II - (Limited to Total to Account For from above)</t>
  </si>
  <si>
    <t>Type</t>
  </si>
  <si>
    <t>Code</t>
  </si>
  <si>
    <t>Class</t>
  </si>
  <si>
    <t>BF</t>
  </si>
  <si>
    <t>Nonfluid Used to Produce</t>
  </si>
  <si>
    <t>Nonfluid</t>
  </si>
  <si>
    <t>Misc</t>
  </si>
  <si>
    <t>Used to Fortify Class I</t>
  </si>
  <si>
    <t>Used in Class IV</t>
  </si>
  <si>
    <t>Loss or (Gain)</t>
  </si>
  <si>
    <t>Total Powder (Cannot be less than 0)</t>
  </si>
  <si>
    <t>Total Pounds Used to Fortify Class I</t>
  </si>
  <si>
    <t>Class IV Fluid Equivalent Factor</t>
  </si>
  <si>
    <t>Total Pounds Used to Produce Class II</t>
  </si>
  <si>
    <t>Total Pounds Used to Produce Class IV</t>
  </si>
  <si>
    <t>Nonfat Dry Milk Used to Produce Class II and Nondariy Products</t>
  </si>
  <si>
    <t>BF *</t>
  </si>
  <si>
    <t>Utilization-Report Category</t>
  </si>
  <si>
    <t>Packaged Transfers to in Order Plants</t>
  </si>
  <si>
    <t>FO NO. from Summary</t>
  </si>
  <si>
    <t>Diversion @FWT  &amp;PWT</t>
  </si>
  <si>
    <t>Less diversions to pool plants</t>
  </si>
  <si>
    <t xml:space="preserve">Northeast                          </t>
  </si>
  <si>
    <t xml:space="preserve">Appalachian                        </t>
  </si>
  <si>
    <t xml:space="preserve">Florida                            </t>
  </si>
  <si>
    <t xml:space="preserve">Southeast                          </t>
  </si>
  <si>
    <t xml:space="preserve">Upper Midwest                      </t>
  </si>
  <si>
    <t xml:space="preserve">Central                            </t>
  </si>
  <si>
    <t xml:space="preserve">Mideast                            </t>
  </si>
  <si>
    <t xml:space="preserve">Pacific Northwest                  </t>
  </si>
  <si>
    <t xml:space="preserve">Southwest                          </t>
  </si>
  <si>
    <t xml:space="preserve">Arizona-Las Vegas                  </t>
  </si>
  <si>
    <t xml:space="preserve">NonPool/NonQualify                 </t>
  </si>
  <si>
    <t xml:space="preserve">Producer Handler                   </t>
  </si>
  <si>
    <t xml:space="preserve">Exempt                             </t>
  </si>
  <si>
    <t xml:space="preserve">Partially Regulated                </t>
  </si>
  <si>
    <t xml:space="preserve">Unregulated                        </t>
  </si>
  <si>
    <t>FO Number</t>
  </si>
  <si>
    <t>FO Name</t>
  </si>
  <si>
    <t>Page Total</t>
  </si>
  <si>
    <r>
      <rPr>
        <b/>
        <i/>
        <sz val="10"/>
        <color theme="0"/>
        <rFont val="Arial"/>
        <family val="2"/>
      </rPr>
      <t>Automatically</t>
    </r>
    <r>
      <rPr>
        <b/>
        <sz val="10"/>
        <color theme="0"/>
        <rFont val="Arial"/>
        <family val="2"/>
      </rPr>
      <t xml:space="preserve"> </t>
    </r>
    <r>
      <rPr>
        <b/>
        <i/>
        <sz val="10"/>
        <color theme="0"/>
        <rFont val="Arial"/>
        <family val="2"/>
      </rPr>
      <t>Added</t>
    </r>
    <r>
      <rPr>
        <b/>
        <sz val="10"/>
        <color theme="0"/>
        <rFont val="Arial"/>
        <family val="2"/>
      </rPr>
      <t xml:space="preserve"> to Skim Equivalent Class II Receipt</t>
    </r>
  </si>
  <si>
    <r>
      <rPr>
        <b/>
        <i/>
        <sz val="10"/>
        <color theme="0"/>
        <rFont val="Arial"/>
        <family val="2"/>
      </rPr>
      <t xml:space="preserve">Automatically Added </t>
    </r>
    <r>
      <rPr>
        <b/>
        <sz val="10"/>
        <color theme="0"/>
        <rFont val="Arial"/>
        <family val="2"/>
      </rPr>
      <t xml:space="preserve"> to Skim Equivalent Class IV Receipt</t>
    </r>
  </si>
  <si>
    <r>
      <rPr>
        <b/>
        <i/>
        <sz val="10"/>
        <color theme="0"/>
        <rFont val="Arial"/>
        <family val="2"/>
      </rPr>
      <t xml:space="preserve">Automatically Added </t>
    </r>
    <r>
      <rPr>
        <b/>
        <sz val="10"/>
        <color theme="0"/>
        <rFont val="Arial"/>
        <family val="2"/>
      </rPr>
      <t xml:space="preserve"> to Skim Equivalent  - Class IV Utilization</t>
    </r>
  </si>
  <si>
    <t>Automatically Added  to Skim Equivalent  - Class II Utiliization</t>
  </si>
  <si>
    <t>Condensed Lbs</t>
  </si>
  <si>
    <t>Total Solids %</t>
  </si>
  <si>
    <t>Factor</t>
  </si>
  <si>
    <t>Class IV</t>
  </si>
  <si>
    <t>Class II</t>
  </si>
  <si>
    <t>Class III</t>
  </si>
  <si>
    <t>Butterfat  Test</t>
  </si>
  <si>
    <t>Fortity Class I = Class IV utilization</t>
  </si>
  <si>
    <t>1,2,3 or 4</t>
  </si>
  <si>
    <t>*Butterfat is included in the finished product test</t>
  </si>
  <si>
    <t>Used in Class</t>
  </si>
  <si>
    <t>NFDM used in Class 2</t>
  </si>
  <si>
    <t>Total Route Sales</t>
  </si>
  <si>
    <t>Concentrate used in Class 2</t>
  </si>
  <si>
    <t>NFDM used to Fortify Class 1</t>
  </si>
  <si>
    <t>Concentrate used in Class 3</t>
  </si>
  <si>
    <t>Concentrate used in Class 4</t>
  </si>
  <si>
    <t>Handler Use Area</t>
  </si>
  <si>
    <t>Computation of Skim Equivalent Pounds  - Utilization of Nonfat Dry Milk</t>
  </si>
  <si>
    <t>Computation of Skim Equivalent Pounds - Receipts of Nonfat Dry Milk</t>
  </si>
  <si>
    <t>Product Equivalent of Condensed Skim Milk Used to produce Class II, III and IV and to Fortify Class I</t>
  </si>
  <si>
    <t>Automatically Added  to Skim Equivalent  - Class III Utiliization</t>
  </si>
  <si>
    <t>Cheese</t>
  </si>
  <si>
    <t>Cream Cheese</t>
  </si>
  <si>
    <r>
      <rPr>
        <b/>
        <i/>
        <sz val="10"/>
        <color theme="0"/>
        <rFont val="Arial"/>
        <family val="2"/>
      </rPr>
      <t>Automatically</t>
    </r>
    <r>
      <rPr>
        <b/>
        <sz val="10"/>
        <color theme="0"/>
        <rFont val="Arial"/>
        <family val="2"/>
      </rPr>
      <t xml:space="preserve"> </t>
    </r>
    <r>
      <rPr>
        <b/>
        <i/>
        <sz val="10"/>
        <color theme="0"/>
        <rFont val="Arial"/>
        <family val="2"/>
      </rPr>
      <t>Added</t>
    </r>
    <r>
      <rPr>
        <b/>
        <sz val="10"/>
        <color theme="0"/>
        <rFont val="Arial"/>
        <family val="2"/>
      </rPr>
      <t xml:space="preserve"> to Skim Equivalent Class III Receipt</t>
    </r>
  </si>
  <si>
    <t>Nonfluid Used to Produce Class III:</t>
  </si>
  <si>
    <t>Used in Class III - (Limited to Total to Account For from above)</t>
  </si>
  <si>
    <t>Total Pounds Used to Produce Class III</t>
  </si>
  <si>
    <t>Automatically Added  to Skim Equivalent  - Class IV Utiliization</t>
  </si>
  <si>
    <t>NFDM used in Class 3</t>
  </si>
  <si>
    <t>NFDM used in Class 4</t>
  </si>
  <si>
    <t>Adina For Life, Inc., San Francisco, CA</t>
  </si>
  <si>
    <t>Advanced Food Product, Visalia, CA</t>
  </si>
  <si>
    <t>Alta Dena North - Dean Foods, City of Industry, CA</t>
  </si>
  <si>
    <t>Amys Kitchen Incorporated, Santa Rosa, CA</t>
  </si>
  <si>
    <t>Ariza Global Foods Inc., Paramount, CA</t>
  </si>
  <si>
    <t>Azteca Cheese, South Gate, CA</t>
  </si>
  <si>
    <t>Bagnoli Mozzarella, Hawthorne, CA</t>
  </si>
  <si>
    <t>Belfiore Cheese, Berkeley, CA</t>
  </si>
  <si>
    <t>Bellwether Farms, LLC, Petaluma, CA</t>
  </si>
  <si>
    <t>Berkley Farms, Inc., Hayward, CA</t>
  </si>
  <si>
    <t>Bleating Heart Cheese Inc., Sebastopol, CA</t>
  </si>
  <si>
    <t>Broguiere's Farm Fresh Dairy, Montebello, CA</t>
  </si>
  <si>
    <t>Brown Cow West Corp., Antioch, CA</t>
  </si>
  <si>
    <t>Bulk Farms, Inc., Oakdale, CA</t>
  </si>
  <si>
    <t>Cacique Company, City Of Industry, CA</t>
  </si>
  <si>
    <t>Cafe Fresco, Corte Madera, CA</t>
  </si>
  <si>
    <t>Cal Poly Corporation, San Luis Obispo, CA</t>
  </si>
  <si>
    <t>California Dairies, Inc. , Artesia, CA</t>
  </si>
  <si>
    <t>California Dairies, Inc. , Fresno, CA</t>
  </si>
  <si>
    <t>California Dairies, Inc. , Tipton, CA</t>
  </si>
  <si>
    <t>California Dairies, Inc., Turlock, CA</t>
  </si>
  <si>
    <t>California Dairies, Inc., Visalia, CA</t>
  </si>
  <si>
    <t>California Natural Products, Lathrop, CA</t>
  </si>
  <si>
    <t>Central Coast Creamery, Paso Robles, CA</t>
  </si>
  <si>
    <t>Central Valley Cheese, Turlock, CA</t>
  </si>
  <si>
    <t>Claravale Farm Co., Paicines, CA</t>
  </si>
  <si>
    <t>Clover-Stornetta Farms, Petaluma, CA</t>
  </si>
  <si>
    <t>Continental Culture Specialists, Glendale, CA</t>
  </si>
  <si>
    <t>Corcoran State Prison, Corcoran, CA</t>
  </si>
  <si>
    <t>Country Charm Dairy, Los Angeles, CA</t>
  </si>
  <si>
    <t>Cowgirl Creamery Petaluma, Petaluma, CA</t>
  </si>
  <si>
    <t>Cowgirl Creamery Point Reyes, Point Reyes Station, CA</t>
  </si>
  <si>
    <t>CROPP Coop, La Farge, WI</t>
  </si>
  <si>
    <t>Crown Natural Foods, Hanford, CA</t>
  </si>
  <si>
    <t>CSU Fresno Ag Foundation, Fresno, CA</t>
  </si>
  <si>
    <t>Cultured Specialties, LLC, Fullerton           , CA</t>
  </si>
  <si>
    <t>Dairy Farmers of America, Inc., Turlock, CA</t>
  </si>
  <si>
    <t>Dairy Farmers of America, Inc., Corona, CA</t>
  </si>
  <si>
    <t>Dairy Farmers of America, Inc., Fallon, NV</t>
  </si>
  <si>
    <t>Dairy Stream Cooperative, Hilmar, CA</t>
  </si>
  <si>
    <t>De Jong's Dairy, Wildomar, CA</t>
  </si>
  <si>
    <t>Dean Foods of CA, Inc., San Leandro, CA</t>
  </si>
  <si>
    <t>Dean Foods, Escondido, Escondido, CA</t>
  </si>
  <si>
    <t>Deuel Vocational Institute, Tracy, CA</t>
  </si>
  <si>
    <t>Di Stefano Cheese, Baldwin Park, CA</t>
  </si>
  <si>
    <t>Di Stefano Cheese, Pomona, CA</t>
  </si>
  <si>
    <t>Don Francisco Foods, Inc., Modesto, CA</t>
  </si>
  <si>
    <t>Don Francisco Foods, Inc., Riverbank, CA</t>
  </si>
  <si>
    <t>Dreyers Grand Ice Cream, Inc., Tulare, CA</t>
  </si>
  <si>
    <t>Driftwood Dairy, Inc., El Monte, CA</t>
  </si>
  <si>
    <t>Earth Island, Chatsworth, CA</t>
  </si>
  <si>
    <t>Elgrove Dairy, Los Angeles, CA</t>
  </si>
  <si>
    <t>F and A Dairy of California, Inc., Newman, CA</t>
  </si>
  <si>
    <t>Fagundes Agribusiness, Hanford, CA</t>
  </si>
  <si>
    <t>Farmdale Creamery, Inc., San Bernardino, CA</t>
  </si>
  <si>
    <t>Farmdale Creamery, Inc. Nonpool, San Bernardino, CA</t>
  </si>
  <si>
    <t>Farmgirl Creamery, Santa Margarita, CA</t>
  </si>
  <si>
    <t>Favorite Food, Fullerton, CA</t>
  </si>
  <si>
    <t>Fiscalini Cheese Co., Modesto, CA</t>
  </si>
  <si>
    <t>Fleur-De-Lait West, City of Industry, CA</t>
  </si>
  <si>
    <t>Foster Farms, Modesto, CA</t>
  </si>
  <si>
    <t>Foster Farms Humboldt, Fortuna, CA</t>
  </si>
  <si>
    <t>Full Bloom Baking Company, Newark, CA</t>
  </si>
  <si>
    <t>Galko Foods, City of Industry, CA</t>
  </si>
  <si>
    <t>Gallo Cattle Co., Atwater, CA</t>
  </si>
  <si>
    <t>GFF, Inc., Los Angeles, CA</t>
  </si>
  <si>
    <t>GH Processing, Yuma, AZ</t>
  </si>
  <si>
    <t>Gioia Cheese, South El Monte, CA</t>
  </si>
  <si>
    <t>Golden Cheese, Corona, CA</t>
  </si>
  <si>
    <t>Green Valley Foods, Barstow, CA</t>
  </si>
  <si>
    <t>Heartland Dairy - Dean Foods, City of Industry, CA</t>
  </si>
  <si>
    <t>Heinz, U.S.A., Irvine, CA</t>
  </si>
  <si>
    <t>Hilarides Dairy, Visalia, CA</t>
  </si>
  <si>
    <t>Hilmar Cheese Co., Hilmar, CA</t>
  </si>
  <si>
    <t>Hilmar Cheese Co., Turlock, CA</t>
  </si>
  <si>
    <t>Hollandia Dairy, Inc., San Marcos, CA</t>
  </si>
  <si>
    <t>Howler Products, San Francisco, CA</t>
  </si>
  <si>
    <t>HP Hood LLC, Sacramento, CA</t>
  </si>
  <si>
    <t>Humboldt Creamery, Fortuna, CA</t>
  </si>
  <si>
    <t>Imperial Valley Cheese, El Centro, CA</t>
  </si>
  <si>
    <t>Independent Dairy Producers, Hilmar, CA</t>
  </si>
  <si>
    <t>Its It Ice Cream Co., Burlingame, CA</t>
  </si>
  <si>
    <t>Kraft Foods North America, Inc., Tulare, CA</t>
  </si>
  <si>
    <t>Kraft/Knudsen, Visalia, CA</t>
  </si>
  <si>
    <t>Kroger Manufacturing Compton, Compton, CA</t>
  </si>
  <si>
    <t>Kroger Manufacturing Riverside, Riverside, CA</t>
  </si>
  <si>
    <t>LA Specialty Produce, Santa Fe Springs, CA</t>
  </si>
  <si>
    <t>Land O' Lakes Inc., Orland, CA</t>
  </si>
  <si>
    <t>Land O' Lakes Inc., Tulare, CA</t>
  </si>
  <si>
    <t>Legacy Milk Cooperative, Turlock, CA</t>
  </si>
  <si>
    <t>Leprino Foods Co., Tracy, CA</t>
  </si>
  <si>
    <t>Leprino Foods Co. East, Lemoore, CA</t>
  </si>
  <si>
    <t>Leprino Foods Co. West, Lemoore, CA</t>
  </si>
  <si>
    <t>Lidestri Foods, Fresno, CA</t>
  </si>
  <si>
    <t>Loleta Cheese Factory, Loleta, CA</t>
  </si>
  <si>
    <t>Los Altos Food Products, Inc., City of Industry, CA</t>
  </si>
  <si>
    <t>Los Altos Food Products, Inc. Nonpool, City of Industry, CA</t>
  </si>
  <si>
    <t>M Hendessi, Sacramento, CA</t>
  </si>
  <si>
    <t>Marin French Cheese, Petaluma, CA</t>
  </si>
  <si>
    <t>Marquez Bros International, Inc., Hanford, CA</t>
  </si>
  <si>
    <t>Masson Cheese, Vernon, CA</t>
  </si>
  <si>
    <t>Matos Joe, Santa Rosa, CA</t>
  </si>
  <si>
    <t>Milk Specialities Co., Visalia, CA</t>
  </si>
  <si>
    <t>Model Dairy, Reno, NV</t>
  </si>
  <si>
    <t>Muniz Miguel, Redwood Valley, CA</t>
  </si>
  <si>
    <t>National Farmers Organization, Modesto, CA</t>
  </si>
  <si>
    <t>National Farmers Organization, Turlock, CA</t>
  </si>
  <si>
    <t>Nestle Food Co., Modesto, CA</t>
  </si>
  <si>
    <t>Nestle USA Food Group, Bakersfield, CA</t>
  </si>
  <si>
    <t>Nicasio Valley Cheese Co., Nicasio, CA</t>
  </si>
  <si>
    <t>Nicolau Farms, Inc., Modesto, CA</t>
  </si>
  <si>
    <t>Ninth Avenue Foods, City Of Industry, CA</t>
  </si>
  <si>
    <t>Northwoods Dairy Sales, Ramona, CA</t>
  </si>
  <si>
    <t>Nutcher Milk Company LLC, Modesto, CA</t>
  </si>
  <si>
    <t>Oakdale Cheese &amp; Specialties, Oakdale, CA</t>
  </si>
  <si>
    <t>Organic Pastures Dairy, Fresno, CA</t>
  </si>
  <si>
    <t>Organic West Premier, Inc., Ripon, CA</t>
  </si>
  <si>
    <t>Orland Farmstead Creamery, Orland, CA</t>
  </si>
  <si>
    <t>Overhill Farms, Vernon, CA</t>
  </si>
  <si>
    <t>Pac Fill, Inc. dba Sun Dairy, Los Angeles, CA</t>
  </si>
  <si>
    <t>Pacific Choice Brands, Fresno, CA</t>
  </si>
  <si>
    <t>Pacific Gold Milk Producers, Inc., Ripon, CA</t>
  </si>
  <si>
    <t>Pacific Gold Milk Products, Inc., Riverbank, CA</t>
  </si>
  <si>
    <t>Paramount Dairy, Inc., Paramount, CA</t>
  </si>
  <si>
    <t>Pavel's Origional Russian Yogurt, Oakland, CA</t>
  </si>
  <si>
    <t>Pedrozo Cheese, Orland, CA</t>
  </si>
  <si>
    <t>Peluso Cheese, Los Banos, CA</t>
  </si>
  <si>
    <t>Petaluma Creamery, Petaluma, CA</t>
  </si>
  <si>
    <t>Point Reyes Cheese, Point Reyes Station, CA</t>
  </si>
  <si>
    <t>Producers Dairy Foods, Inc., Fairfield, CA</t>
  </si>
  <si>
    <t>Producers Dairy Foods, Inc., Fresno, CA</t>
  </si>
  <si>
    <t>Queso Salazar, Brentwood, CA</t>
  </si>
  <si>
    <t>Ramar International, Pittsburg, CA</t>
  </si>
  <si>
    <t>Redwood Hill Farm, LLC, Sebastopol, CA</t>
  </si>
  <si>
    <t>Rex Creamery, City of Industry, CA</t>
  </si>
  <si>
    <t>Reynaldos Mexican Food Company, LLC, Downey, CA</t>
  </si>
  <si>
    <t>Rizo Lopez, Inc., Riverbank, CA</t>
  </si>
  <si>
    <t>Robert Giacomini Dairy, Inc., Petaluma, CA</t>
  </si>
  <si>
    <t>Rockview Dairies, Inc., Downey, CA</t>
  </si>
  <si>
    <t>Rosa Brothers Milk Co., Tulare, CA</t>
  </si>
  <si>
    <t>Rumiano Cheese Co, Inc., Crescent City, CA</t>
  </si>
  <si>
    <t>Safeway Inc. Milk Department, San Leandro, CA</t>
  </si>
  <si>
    <t>Saint Benoit Yogurt, Bodega, CA</t>
  </si>
  <si>
    <t>Santini Foods, Inc., San Lorenzo, CA</t>
  </si>
  <si>
    <t>Saputo Cheese, South Gate, CA</t>
  </si>
  <si>
    <t>Saputo Cheese USA, Inc., Newman, CA</t>
  </si>
  <si>
    <t>Saputo Cheese USA, Inc. - J Street, Tulare, CA</t>
  </si>
  <si>
    <t>Saputo Cheese USA, Inc. - Levin, Tulare, CA</t>
  </si>
  <si>
    <t>Saputo Cheese USA, Inc. - Paige, Tulare, CA</t>
  </si>
  <si>
    <t>Saputo Dairy Foods USA, Gustine, CA</t>
  </si>
  <si>
    <t>Schoch Family Farmstead, Inc., Salinas, CA</t>
  </si>
  <si>
    <t>Schreiber Foods Co., Fullerton, CA</t>
  </si>
  <si>
    <t>Scott Brothers Dairy, Chino, CA</t>
  </si>
  <si>
    <t>Sierra Cheese Mfg Co., Compton, CA</t>
  </si>
  <si>
    <t>Sierra Nevada Cheese, Willows, CA</t>
  </si>
  <si>
    <t>SK Foods, Lemoore, CA</t>
  </si>
  <si>
    <t>Soyoung Scanlan, Petaluma, CA</t>
  </si>
  <si>
    <t>Straus Family Creamery, Marshall, CA</t>
  </si>
  <si>
    <t>Stremicks Heritage Foods, Santa Ana, CA</t>
  </si>
  <si>
    <t>Stremicks Heritage Foods, LLC, Riverside, CA</t>
  </si>
  <si>
    <t>Sun Valley, Sun Valley, CA</t>
  </si>
  <si>
    <t>Sunnyside Farms, Turlock, CA</t>
  </si>
  <si>
    <t>Super Store Industries, Turlock, CA</t>
  </si>
  <si>
    <t>Suprema CA, Manteca, CA</t>
  </si>
  <si>
    <t>Swiss Dairy, Riverside, CA</t>
  </si>
  <si>
    <t>The Clorox Company, Pleasanton, CA</t>
  </si>
  <si>
    <t>The Dairy Group. Inc., Chino, CA</t>
  </si>
  <si>
    <t>The Mochi Ice Cream Company, Vernon, CA</t>
  </si>
  <si>
    <t>The Vons Companies, Inc., City of Commerce, CA</t>
  </si>
  <si>
    <t>Three Twins Ice Cream, San Rafael, CA</t>
  </si>
  <si>
    <t>Thrifty Payless, Inc., El Monte, CA</t>
  </si>
  <si>
    <t>Top Line Milk Company, Inc., Winton, CA</t>
  </si>
  <si>
    <t>Top O The Morn Farms, Inc., Tulare, CA</t>
  </si>
  <si>
    <t>Tropicale Foods, Inc., Ontario, CA</t>
  </si>
  <si>
    <t>Tulare Cultured Specialties, Tulare, CA</t>
  </si>
  <si>
    <t>Turlock Cheese Association, Turlock, CA</t>
  </si>
  <si>
    <t>Unified Western Grocers, Inc., City of Commerce, CA</t>
  </si>
  <si>
    <t>Valley Ford Cheese Co., LLC, Valley Ford, CA</t>
  </si>
  <si>
    <t>Valley Milk LLC, Turlock, CA</t>
  </si>
  <si>
    <t>Vella Cheese Co., Sonoma, CA</t>
  </si>
  <si>
    <t>Ventura Foods, LLC, Ventura, CA</t>
  </si>
  <si>
    <t>Vintage Cheese Co., Traver, CA</t>
  </si>
  <si>
    <t>Wallaby Yogurt, American Canyon, CA</t>
  </si>
  <si>
    <t>Western Milk Producers Assc., Inc., Atwater, CA</t>
  </si>
  <si>
    <t>WhiteWave Foods, City of Industry, CA</t>
  </si>
  <si>
    <t>Winchester Cheese, CO., LLC, Winchester, CA</t>
  </si>
  <si>
    <t>World Grocer, Turlock, CA</t>
  </si>
  <si>
    <t>Status</t>
  </si>
  <si>
    <t>Concentrate used to Fortify Class I</t>
  </si>
  <si>
    <t>Beginning Packaged Inventory</t>
  </si>
  <si>
    <t>Beginning Bulk Inventory</t>
  </si>
  <si>
    <t>Receipts of NFDM</t>
  </si>
  <si>
    <t>Milk</t>
  </si>
  <si>
    <t>Cream</t>
  </si>
  <si>
    <t>PR</t>
  </si>
  <si>
    <t>Form Approved, OMB No. 0581-0032</t>
  </si>
  <si>
    <t>(916) 702-6455</t>
  </si>
  <si>
    <t>(833) 673-3751</t>
  </si>
  <si>
    <t>P.O. Box 6660</t>
  </si>
  <si>
    <t>Folsom, CA 95763</t>
  </si>
  <si>
    <t>Worksheet 1 of 8</t>
  </si>
  <si>
    <t>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religion, sex, gender identity (including gender expression), sexual orientation, disability, age, marital status, family/parental status, income derived from a public assistance program, political beliefs, or reprisal or retaliation for prior civil rights activity, in any program or activity conducted or funded by USDA (not all bases apply to all programs). Remedies and complaint filing deadlines vary by program or incident. 
Persons with disabilities who require alternative means of communication for program information (e.g., Braille, large print, audiotape, American Sign Language, etc.) should contact the responsible Agency or USDA’s TARGET Center at (202) 720-2600 (voice and TTY) or contact USDA through the Federal Relay Service at (800) 877-8339. Additionally, program information may be made available in languages other than English. 
To file a program discrimination complaint, complete the USDA Program Discrimination Complaint Form, AD-3027, found online at http://www.ascr.usda.gov/complaint_filing_cust.html and at any USDA office or write a letter addressed to USDA and provide in the letter all of the information requested in the form. To request a copy of the complaint form, call (866) 632-9992. Submit your completed form or letter to USDA by: (1) mail: U.S. Department of Agriculture Office of the Assistant Secretary for Civil Rights 1400 Independence Avenue, SW Washington, D.C. 20250-9410; (2) fax: (202) 690-7442; or (3) email: program.intake@usda.gov. 
USDA is an equal opportunity provider, employer, and lender.</t>
  </si>
  <si>
    <t>Revision:  10/25/2018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</si>
</sst>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1" formatCode="_(* #,##0_);_(* \(#,##0\);_(* &quot;-&quot;_);_(@_)"/>
    <numFmt numFmtId="44" formatCode="_(&quot;$&quot;* #,##0.00_);_(&quot;$&quot;* \(#,##0.00\);_(&quot;$&quot;* &quot;-&quot;??_);_(@_)"/>
    <numFmt numFmtId="43" formatCode="_(* #,##0.00_);_(* \(#,##0.00\);_(* &quot;-&quot;??_);_(@_)"/>
    <numFmt numFmtId="164" formatCode="000"/>
    <numFmt numFmtId="165" formatCode="&quot;$&quot;#,##0.00"/>
    <numFmt numFmtId="166" formatCode="&quot;$&quot;#,##0.00000"/>
    <numFmt numFmtId="167" formatCode="[$-409]mmmm\ yyyy;@"/>
    <numFmt numFmtId="168" formatCode="_(* #,##0_);_(* \(#,##0\);_(* &quot;-&quot;??_);_(@_)"/>
    <numFmt numFmtId="169" formatCode="00"/>
    <numFmt numFmtId="170" formatCode="mm"/>
    <numFmt numFmtId="171" formatCode="_(* #,##0.000_);_(* \(#,##0.000\);_(* &quot;-&quot;??_);_(@_)"/>
    <numFmt numFmtId="172" formatCode="mmmm\ yyyy"/>
    <numFmt numFmtId="173" formatCode="0_);\(0\)"/>
  </numFmts>
  <fonts count="51" x14ac:knownFonts="1">
    <font>
      <sz val="11"/>
      <color theme="1"/>
      <name val="Calibri"/>
      <family val="2"/>
      <scheme val="minor"/>
    </font>
    <font>
      <b/>
      <sz val="11"/>
      <color theme="1"/>
      <name val="Calibri"/>
      <family val="2"/>
      <scheme val="minor"/>
    </font>
    <font>
      <sz val="11"/>
      <color theme="0"/>
      <name val="Calibri"/>
      <family val="2"/>
      <scheme val="minor"/>
    </font>
    <font>
      <sz val="9"/>
      <color theme="1" tint="0.499984740745262"/>
      <name val="Calibri Light"/>
      <family val="2"/>
      <scheme val="major"/>
    </font>
    <font>
      <b/>
      <sz val="10"/>
      <color theme="1" tint="0.499984740745262"/>
      <name val="Calibri Light"/>
      <family val="2"/>
      <scheme val="major"/>
    </font>
    <font>
      <b/>
      <u/>
      <sz val="11"/>
      <color theme="1"/>
      <name val="Calibri"/>
      <family val="2"/>
      <scheme val="minor"/>
    </font>
    <font>
      <i/>
      <sz val="11"/>
      <color theme="1"/>
      <name val="Calibri"/>
      <family val="2"/>
      <scheme val="minor"/>
    </font>
    <font>
      <b/>
      <u/>
      <sz val="13"/>
      <color theme="1"/>
      <name val="Calibri"/>
      <family val="2"/>
      <scheme val="minor"/>
    </font>
    <font>
      <b/>
      <sz val="11"/>
      <name val="Calibri"/>
      <family val="2"/>
      <scheme val="minor"/>
    </font>
    <font>
      <sz val="48"/>
      <color theme="1"/>
      <name val="Calibri"/>
      <family val="2"/>
      <scheme val="minor"/>
    </font>
    <font>
      <b/>
      <sz val="12"/>
      <color theme="1"/>
      <name val="Times New Roman"/>
      <family val="1"/>
    </font>
    <font>
      <b/>
      <sz val="12"/>
      <color theme="0"/>
      <name val="Times New Roman"/>
      <family val="1"/>
    </font>
    <font>
      <sz val="12"/>
      <color theme="1"/>
      <name val="Times New Roman"/>
      <family val="1"/>
    </font>
    <font>
      <b/>
      <i/>
      <sz val="14"/>
      <color theme="1"/>
      <name val="Calibri"/>
      <family val="2"/>
      <scheme val="minor"/>
    </font>
    <font>
      <sz val="10"/>
      <color theme="1"/>
      <name val="Times New Roman"/>
      <family val="1"/>
    </font>
    <font>
      <sz val="36"/>
      <color theme="1"/>
      <name val="Calibri"/>
      <family val="2"/>
      <scheme val="minor"/>
    </font>
    <font>
      <sz val="11"/>
      <color theme="1"/>
      <name val="Calibri"/>
      <family val="2"/>
      <scheme val="minor"/>
    </font>
    <font>
      <sz val="28"/>
      <color theme="1"/>
      <name val="Calibri"/>
      <family val="2"/>
      <scheme val="minor"/>
    </font>
    <font>
      <sz val="10"/>
      <color theme="1"/>
      <name val="Calibri"/>
      <family val="2"/>
      <scheme val="minor"/>
    </font>
    <font>
      <b/>
      <i/>
      <sz val="10"/>
      <color theme="1"/>
      <name val="Calibri"/>
      <family val="2"/>
      <scheme val="minor"/>
    </font>
    <font>
      <b/>
      <sz val="9"/>
      <color rgb="FF242729"/>
      <name val="Arial"/>
      <family val="2"/>
    </font>
    <font>
      <sz val="10"/>
      <name val="Arial"/>
      <family val="2"/>
    </font>
    <font>
      <b/>
      <sz val="11"/>
      <color theme="0"/>
      <name val="Calibri"/>
      <family val="2"/>
      <scheme val="minor"/>
    </font>
    <font>
      <b/>
      <sz val="16"/>
      <color theme="1"/>
      <name val="Calibri"/>
      <family val="2"/>
      <scheme val="minor"/>
    </font>
    <font>
      <b/>
      <sz val="14"/>
      <color theme="1"/>
      <name val="Calibri"/>
      <family val="2"/>
      <scheme val="minor"/>
    </font>
    <font>
      <sz val="11"/>
      <name val="Calibri"/>
      <family val="2"/>
      <scheme val="minor"/>
    </font>
    <font>
      <b/>
      <sz val="10"/>
      <color theme="1"/>
      <name val="Calibri"/>
      <family val="2"/>
      <scheme val="minor"/>
    </font>
    <font>
      <u/>
      <sz val="7.5"/>
      <color theme="10"/>
      <name val="Arial"/>
      <family val="2"/>
    </font>
    <font>
      <sz val="10"/>
      <name val="MS Sans Serif"/>
      <family val="2"/>
    </font>
    <font>
      <b/>
      <sz val="12"/>
      <color theme="1"/>
      <name val="Calibri"/>
      <family val="2"/>
      <scheme val="minor"/>
    </font>
    <font>
      <b/>
      <sz val="16"/>
      <name val="Arial"/>
      <family val="2"/>
    </font>
    <font>
      <b/>
      <i/>
      <sz val="10"/>
      <name val="Arial"/>
      <family val="2"/>
    </font>
    <font>
      <b/>
      <sz val="11"/>
      <name val="Arial"/>
      <family val="2"/>
    </font>
    <font>
      <b/>
      <sz val="12"/>
      <name val="Arial"/>
      <family val="2"/>
    </font>
    <font>
      <b/>
      <sz val="9"/>
      <name val="Arial"/>
      <family val="2"/>
    </font>
    <font>
      <sz val="9"/>
      <name val="Arial"/>
      <family val="2"/>
    </font>
    <font>
      <b/>
      <sz val="10"/>
      <name val="Arial"/>
      <family val="2"/>
    </font>
    <font>
      <b/>
      <i/>
      <sz val="9"/>
      <name val="Arial"/>
      <family val="2"/>
    </font>
    <font>
      <b/>
      <sz val="10"/>
      <color theme="0"/>
      <name val="Arial"/>
      <family val="2"/>
    </font>
    <font>
      <b/>
      <i/>
      <sz val="10"/>
      <color theme="0"/>
      <name val="Arial"/>
      <family val="2"/>
    </font>
    <font>
      <b/>
      <sz val="9"/>
      <color theme="0"/>
      <name val="Arial"/>
      <family val="2"/>
    </font>
    <font>
      <b/>
      <u/>
      <sz val="10"/>
      <name val="Arial"/>
      <family val="2"/>
    </font>
    <font>
      <b/>
      <sz val="10"/>
      <name val="Times New Roman"/>
      <family val="1"/>
    </font>
    <font>
      <sz val="11"/>
      <color theme="1"/>
      <name val="Times New Roman"/>
      <family val="1"/>
    </font>
    <font>
      <b/>
      <sz val="11"/>
      <name val="Times New Roman"/>
      <family val="1"/>
    </font>
    <font>
      <b/>
      <sz val="11"/>
      <color theme="1"/>
      <name val="Times New Roman"/>
      <family val="1"/>
    </font>
    <font>
      <sz val="10"/>
      <name val="Times New Roman"/>
      <family val="1"/>
    </font>
    <font>
      <b/>
      <sz val="9"/>
      <name val="Times New Roman"/>
      <family val="1"/>
    </font>
    <font>
      <sz val="10"/>
      <name val="Arial"/>
      <family val="2"/>
    </font>
    <font>
      <u/>
      <sz val="11"/>
      <color theme="10"/>
      <name val="Calibri"/>
      <family val="2"/>
      <scheme val="minor"/>
    </font>
    <font>
      <b/>
      <i/>
      <sz val="12"/>
      <color theme="1"/>
      <name val="Calibri"/>
      <family val="2"/>
      <scheme val="minor"/>
    </font>
  </fonts>
  <fills count="16">
    <fill>
      <patternFill patternType="none"/>
    </fill>
    <fill>
      <patternFill patternType="gray125"/>
    </fill>
    <fill>
      <patternFill patternType="solid">
        <fgColor theme="8"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8" tint="-0.24994659260841701"/>
        <bgColor indexed="64"/>
      </patternFill>
    </fill>
    <fill>
      <patternFill patternType="solid">
        <fgColor rgb="FFFFFF99"/>
        <bgColor indexed="64"/>
      </patternFill>
    </fill>
    <fill>
      <patternFill patternType="solid">
        <fgColor theme="4" tint="0.59999389629810485"/>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6" tint="0.59999389629810485"/>
        <bgColor indexed="64"/>
      </patternFill>
    </fill>
    <fill>
      <patternFill patternType="solid">
        <fgColor theme="4" tint="0.79998168889431442"/>
        <bgColor indexed="64"/>
      </patternFill>
    </fill>
    <fill>
      <patternFill patternType="solid">
        <fgColor indexed="43"/>
        <bgColor indexed="64"/>
      </patternFill>
    </fill>
  </fills>
  <borders count="101">
    <border>
      <left/>
      <right/>
      <top/>
      <bottom/>
      <diagonal/>
    </border>
    <border>
      <left/>
      <right/>
      <top/>
      <bottom style="thin">
        <color auto="1"/>
      </bottom>
      <diagonal/>
    </border>
    <border>
      <left/>
      <right/>
      <top style="thin">
        <color auto="1"/>
      </top>
      <bottom style="thin">
        <color auto="1"/>
      </bottom>
      <diagonal/>
    </border>
    <border>
      <left/>
      <right/>
      <top/>
      <bottom style="thick">
        <color auto="1"/>
      </bottom>
      <diagonal/>
    </border>
    <border>
      <left/>
      <right/>
      <top style="thick">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theme="0"/>
      </left>
      <right/>
      <top style="thin">
        <color theme="0"/>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style="medium">
        <color indexed="64"/>
      </left>
      <right style="medium">
        <color indexed="64"/>
      </right>
      <top style="medium">
        <color indexed="64"/>
      </top>
      <bottom style="medium">
        <color indexed="64"/>
      </bottom>
      <diagonal/>
    </border>
    <border>
      <left style="thick">
        <color indexed="64"/>
      </left>
      <right style="thin">
        <color indexed="64"/>
      </right>
      <top style="thin">
        <color indexed="64"/>
      </top>
      <bottom style="thin">
        <color indexed="64"/>
      </bottom>
      <diagonal/>
    </border>
    <border>
      <left style="thin">
        <color theme="4"/>
      </left>
      <right/>
      <top/>
      <bottom/>
      <diagonal/>
    </border>
    <border>
      <left style="thin">
        <color theme="4"/>
      </left>
      <right style="thin">
        <color theme="4"/>
      </right>
      <top/>
      <bottom/>
      <diagonal/>
    </border>
    <border>
      <left style="thin">
        <color theme="4"/>
      </left>
      <right/>
      <top style="thin">
        <color theme="4"/>
      </top>
      <bottom/>
      <diagonal/>
    </border>
    <border>
      <left style="thin">
        <color theme="4"/>
      </left>
      <right style="thin">
        <color theme="4"/>
      </right>
      <top style="thin">
        <color theme="4"/>
      </top>
      <bottom/>
      <diagonal/>
    </border>
    <border>
      <left style="thick">
        <color auto="1"/>
      </left>
      <right/>
      <top style="thin">
        <color theme="4"/>
      </top>
      <bottom/>
      <diagonal/>
    </border>
    <border>
      <left style="thin">
        <color auto="1"/>
      </left>
      <right style="thin">
        <color auto="1"/>
      </right>
      <top style="thin">
        <color auto="1"/>
      </top>
      <bottom style="medium">
        <color indexed="64"/>
      </bottom>
      <diagonal/>
    </border>
    <border>
      <left style="thin">
        <color theme="4"/>
      </left>
      <right/>
      <top style="medium">
        <color indexed="64"/>
      </top>
      <bottom style="medium">
        <color auto="1"/>
      </bottom>
      <diagonal/>
    </border>
    <border>
      <left style="thin">
        <color theme="4"/>
      </left>
      <right/>
      <top style="double">
        <color theme="4"/>
      </top>
      <bottom style="medium">
        <color auto="1"/>
      </bottom>
      <diagonal/>
    </border>
    <border>
      <left style="thin">
        <color theme="4"/>
      </left>
      <right style="thin">
        <color theme="4"/>
      </right>
      <top style="double">
        <color theme="4"/>
      </top>
      <bottom style="medium">
        <color auto="1"/>
      </bottom>
      <diagonal/>
    </border>
    <border>
      <left style="thick">
        <color auto="1"/>
      </left>
      <right/>
      <top style="double">
        <color theme="4"/>
      </top>
      <bottom style="medium">
        <color auto="1"/>
      </bottom>
      <diagonal/>
    </border>
    <border>
      <left style="thick">
        <color auto="1"/>
      </left>
      <right style="thick">
        <color auto="1"/>
      </right>
      <top style="thin">
        <color theme="4"/>
      </top>
      <bottom style="thin">
        <color theme="4"/>
      </bottom>
      <diagonal/>
    </border>
    <border>
      <left style="thick">
        <color auto="1"/>
      </left>
      <right style="thick">
        <color auto="1"/>
      </right>
      <top style="thin">
        <color theme="4"/>
      </top>
      <bottom/>
      <diagonal/>
    </border>
    <border>
      <left style="thick">
        <color indexed="64"/>
      </left>
      <right style="thick">
        <color indexed="64"/>
      </right>
      <top style="medium">
        <color indexed="64"/>
      </top>
      <bottom style="thin">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ck">
        <color indexed="64"/>
      </left>
      <right/>
      <top/>
      <bottom style="thin">
        <color indexed="64"/>
      </bottom>
      <diagonal/>
    </border>
    <border>
      <left style="thin">
        <color indexed="64"/>
      </left>
      <right/>
      <top style="thick">
        <color indexed="64"/>
      </top>
      <bottom/>
      <diagonal/>
    </border>
    <border>
      <left/>
      <right style="thick">
        <color auto="1"/>
      </right>
      <top style="thick">
        <color auto="1"/>
      </top>
      <bottom/>
      <diagonal/>
    </border>
    <border>
      <left style="thick">
        <color indexed="64"/>
      </left>
      <right/>
      <top style="thin">
        <color auto="1"/>
      </top>
      <bottom style="thin">
        <color auto="1"/>
      </bottom>
      <diagonal/>
    </border>
    <border>
      <left style="thin">
        <color indexed="64"/>
      </left>
      <right style="thick">
        <color indexed="64"/>
      </right>
      <top style="thin">
        <color indexed="64"/>
      </top>
      <bottom style="thin">
        <color indexed="64"/>
      </bottom>
      <diagonal/>
    </border>
    <border>
      <left/>
      <right style="thick">
        <color indexed="64"/>
      </right>
      <top style="thin">
        <color auto="1"/>
      </top>
      <bottom style="thin">
        <color auto="1"/>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n">
        <color indexed="64"/>
      </top>
      <bottom/>
      <diagonal/>
    </border>
    <border>
      <left style="thin">
        <color auto="1"/>
      </left>
      <right/>
      <top style="thin">
        <color auto="1"/>
      </top>
      <bottom style="medium">
        <color indexed="64"/>
      </bottom>
      <diagonal/>
    </border>
    <border>
      <left style="thin">
        <color theme="4"/>
      </left>
      <right/>
      <top/>
      <bottom style="medium">
        <color auto="1"/>
      </bottom>
      <diagonal/>
    </border>
    <border>
      <left/>
      <right/>
      <top style="thin">
        <color theme="4"/>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ck">
        <color indexed="64"/>
      </right>
      <top/>
      <bottom style="medium">
        <color indexed="64"/>
      </bottom>
      <diagonal/>
    </border>
    <border>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thin">
        <color indexed="64"/>
      </right>
      <top style="medium">
        <color indexed="64"/>
      </top>
      <bottom/>
      <diagonal/>
    </border>
    <border>
      <left style="thick">
        <color indexed="64"/>
      </left>
      <right style="thin">
        <color indexed="64"/>
      </right>
      <top style="thin">
        <color theme="4"/>
      </top>
      <bottom/>
      <diagonal/>
    </border>
    <border>
      <left style="thin">
        <color indexed="64"/>
      </left>
      <right style="thick">
        <color auto="1"/>
      </right>
      <top style="thin">
        <color theme="4"/>
      </top>
      <bottom/>
      <diagonal/>
    </border>
    <border>
      <left style="thick">
        <color indexed="64"/>
      </left>
      <right style="thin">
        <color indexed="64"/>
      </right>
      <top style="double">
        <color theme="4"/>
      </top>
      <bottom style="medium">
        <color auto="1"/>
      </bottom>
      <diagonal/>
    </border>
    <border>
      <left style="thin">
        <color indexed="64"/>
      </left>
      <right style="thick">
        <color auto="1"/>
      </right>
      <top style="double">
        <color theme="4"/>
      </top>
      <bottom style="medium">
        <color auto="1"/>
      </bottom>
      <diagonal/>
    </border>
    <border>
      <left/>
      <right/>
      <top style="thick">
        <color auto="1"/>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medium">
        <color indexed="64"/>
      </right>
      <top style="thick">
        <color auto="1"/>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theme="4"/>
      </top>
      <bottom/>
      <diagonal/>
    </border>
    <border>
      <left style="medium">
        <color indexed="64"/>
      </left>
      <right style="thin">
        <color auto="1"/>
      </right>
      <top style="thin">
        <color auto="1"/>
      </top>
      <bottom style="medium">
        <color indexed="64"/>
      </bottom>
      <diagonal/>
    </border>
    <border>
      <left style="thin">
        <color indexed="64"/>
      </left>
      <right style="medium">
        <color indexed="64"/>
      </right>
      <top style="thin">
        <color theme="4"/>
      </top>
      <bottom style="double">
        <color theme="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style="thin">
        <color theme="4"/>
      </top>
      <bottom/>
      <diagonal/>
    </border>
    <border>
      <left/>
      <right style="thin">
        <color indexed="64"/>
      </right>
      <top style="double">
        <color theme="4"/>
      </top>
      <bottom style="medium">
        <color auto="1"/>
      </bottom>
      <diagonal/>
    </border>
    <border>
      <left style="medium">
        <color indexed="64"/>
      </left>
      <right style="medium">
        <color indexed="64"/>
      </right>
      <top style="medium">
        <color indexed="64"/>
      </top>
      <bottom style="thin">
        <color theme="4"/>
      </bottom>
      <diagonal/>
    </border>
    <border>
      <left style="medium">
        <color indexed="64"/>
      </left>
      <right style="medium">
        <color indexed="64"/>
      </right>
      <top style="thin">
        <color theme="4"/>
      </top>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double">
        <color theme="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theme="4"/>
      </top>
      <bottom/>
      <diagonal/>
    </border>
    <border>
      <left style="medium">
        <color indexed="64"/>
      </left>
      <right style="thin">
        <color indexed="64"/>
      </right>
      <top style="double">
        <color theme="4"/>
      </top>
      <bottom style="medium">
        <color indexed="64"/>
      </bottom>
      <diagonal/>
    </border>
    <border>
      <left style="thin">
        <color indexed="64"/>
      </left>
      <right style="medium">
        <color indexed="64"/>
      </right>
      <top style="double">
        <color theme="4"/>
      </top>
      <bottom style="medium">
        <color indexed="64"/>
      </bottom>
      <diagonal/>
    </border>
    <border>
      <left/>
      <right style="thin">
        <color indexed="64"/>
      </right>
      <top style="thin">
        <color theme="4"/>
      </top>
      <bottom style="double">
        <color theme="4"/>
      </bottom>
      <diagonal/>
    </border>
    <border>
      <left style="thin">
        <color indexed="64"/>
      </left>
      <right/>
      <top style="medium">
        <color indexed="64"/>
      </top>
      <bottom style="thin">
        <color auto="1"/>
      </bottom>
      <diagonal/>
    </border>
    <border>
      <left style="thin">
        <color indexed="64"/>
      </left>
      <right style="thick">
        <color indexed="64"/>
      </right>
      <top/>
      <bottom style="thin">
        <color indexed="64"/>
      </bottom>
      <diagonal/>
    </border>
  </borders>
  <cellStyleXfs count="43">
    <xf numFmtId="0" fontId="0" fillId="0" borderId="0"/>
    <xf numFmtId="0" fontId="3" fillId="0" borderId="0">
      <alignment vertical="center"/>
    </xf>
    <xf numFmtId="0" fontId="21" fillId="0" borderId="0"/>
    <xf numFmtId="0" fontId="21" fillId="0" borderId="0"/>
    <xf numFmtId="0" fontId="16" fillId="0" borderId="0"/>
    <xf numFmtId="43" fontId="21" fillId="0" borderId="0" applyFont="0" applyFill="0" applyBorder="0" applyAlignment="0" applyProtection="0"/>
    <xf numFmtId="43" fontId="16" fillId="0" borderId="0" applyFont="0" applyFill="0" applyBorder="0" applyAlignment="0" applyProtection="0"/>
    <xf numFmtId="41" fontId="2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21" fillId="0" borderId="0" applyFont="0" applyFill="0" applyBorder="0" applyAlignment="0" applyProtection="0"/>
    <xf numFmtId="0" fontId="27" fillId="0" borderId="0" applyNumberFormat="0" applyFill="0" applyBorder="0" applyAlignment="0" applyProtection="0">
      <alignment vertical="top"/>
      <protection locked="0"/>
    </xf>
    <xf numFmtId="0" fontId="21" fillId="0" borderId="0"/>
    <xf numFmtId="0" fontId="21" fillId="0" borderId="0"/>
    <xf numFmtId="0" fontId="21" fillId="0" borderId="0"/>
    <xf numFmtId="0" fontId="28" fillId="0" borderId="0"/>
    <xf numFmtId="0" fontId="21" fillId="0" borderId="0"/>
    <xf numFmtId="0" fontId="21" fillId="0" borderId="0"/>
    <xf numFmtId="0" fontId="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1" fillId="0" borderId="0"/>
    <xf numFmtId="0" fontId="21" fillId="0" borderId="0"/>
    <xf numFmtId="0" fontId="21" fillId="0" borderId="0"/>
    <xf numFmtId="9" fontId="21" fillId="0" borderId="0" applyFont="0" applyFill="0" applyBorder="0" applyAlignment="0" applyProtection="0"/>
    <xf numFmtId="9" fontId="16" fillId="0" borderId="0" applyFont="0" applyFill="0" applyBorder="0" applyAlignment="0" applyProtection="0"/>
    <xf numFmtId="0" fontId="48" fillId="0" borderId="0"/>
    <xf numFmtId="43" fontId="21" fillId="0" borderId="0" applyFont="0" applyFill="0" applyBorder="0" applyAlignment="0" applyProtection="0"/>
    <xf numFmtId="0" fontId="49" fillId="0" borderId="0" applyNumberFormat="0" applyFill="0" applyBorder="0" applyAlignment="0" applyProtection="0"/>
  </cellStyleXfs>
  <cellXfs count="481">
    <xf numFmtId="0" fontId="0" fillId="0" borderId="0" xfId="0"/>
    <xf numFmtId="0" fontId="4" fillId="0" borderId="0" xfId="1" applyFont="1">
      <alignment vertical="center"/>
    </xf>
    <xf numFmtId="0" fontId="2" fillId="0" borderId="0" xfId="0" applyFont="1"/>
    <xf numFmtId="0" fontId="5" fillId="0" borderId="0" xfId="0" applyFont="1"/>
    <xf numFmtId="0" fontId="1" fillId="0" borderId="0" xfId="0" applyFont="1" applyAlignment="1">
      <alignment horizontal="left"/>
    </xf>
    <xf numFmtId="0" fontId="0" fillId="0" borderId="0" xfId="0"/>
    <xf numFmtId="49" fontId="0" fillId="0" borderId="0" xfId="0" applyNumberFormat="1"/>
    <xf numFmtId="0" fontId="7" fillId="0" borderId="0" xfId="0" applyFont="1"/>
    <xf numFmtId="49" fontId="5" fillId="0" borderId="0" xfId="0" applyNumberFormat="1" applyFont="1" applyAlignment="1">
      <alignment horizontal="center"/>
    </xf>
    <xf numFmtId="49" fontId="5" fillId="0" borderId="0" xfId="0" applyNumberFormat="1" applyFont="1"/>
    <xf numFmtId="164" fontId="0" fillId="0" borderId="0" xfId="0" applyNumberFormat="1" applyAlignment="1">
      <alignment horizontal="center"/>
    </xf>
    <xf numFmtId="0" fontId="0" fillId="0" borderId="0" xfId="0" applyFill="1"/>
    <xf numFmtId="0" fontId="0" fillId="0" borderId="0" xfId="0" applyAlignment="1">
      <alignment wrapText="1"/>
    </xf>
    <xf numFmtId="49" fontId="0" fillId="0" borderId="0" xfId="0" applyNumberFormat="1" applyAlignment="1">
      <alignment horizontal="center"/>
    </xf>
    <xf numFmtId="3" fontId="0" fillId="0" borderId="0" xfId="0" applyNumberFormat="1" applyAlignment="1">
      <alignment horizontal="right"/>
    </xf>
    <xf numFmtId="3" fontId="5" fillId="0" borderId="0" xfId="0" applyNumberFormat="1" applyFont="1" applyAlignment="1">
      <alignment horizontal="left"/>
    </xf>
    <xf numFmtId="3" fontId="2" fillId="0" borderId="0" xfId="0" applyNumberFormat="1" applyFont="1" applyAlignment="1">
      <alignment horizontal="right"/>
    </xf>
    <xf numFmtId="165" fontId="5" fillId="0" borderId="0" xfId="0" applyNumberFormat="1" applyFont="1" applyAlignment="1">
      <alignment horizontal="center"/>
    </xf>
    <xf numFmtId="49" fontId="0" fillId="0" borderId="0" xfId="0" applyNumberFormat="1" applyAlignment="1">
      <alignment horizontal="right"/>
    </xf>
    <xf numFmtId="164" fontId="0" fillId="0" borderId="0" xfId="0" applyNumberFormat="1" applyAlignment="1" applyProtection="1">
      <alignment horizontal="center"/>
      <protection locked="0"/>
    </xf>
    <xf numFmtId="166" fontId="0" fillId="0" borderId="0" xfId="0" applyNumberFormat="1" applyBorder="1" applyAlignment="1" applyProtection="1">
      <alignment horizontal="center"/>
      <protection locked="0"/>
    </xf>
    <xf numFmtId="0" fontId="0" fillId="0" borderId="0" xfId="0" applyFill="1" applyBorder="1" applyAlignment="1" applyProtection="1">
      <alignment horizontal="center"/>
      <protection locked="0"/>
    </xf>
    <xf numFmtId="166"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right"/>
    </xf>
    <xf numFmtId="165" fontId="0" fillId="0" borderId="0" xfId="0" applyNumberFormat="1" applyAlignment="1">
      <alignment horizontal="right"/>
    </xf>
    <xf numFmtId="3" fontId="5" fillId="0" borderId="0" xfId="0" applyNumberFormat="1" applyFont="1" applyAlignment="1">
      <alignment horizontal="right"/>
    </xf>
    <xf numFmtId="165" fontId="5" fillId="0" borderId="0" xfId="0" applyNumberFormat="1" applyFont="1" applyAlignment="1">
      <alignment horizontal="right"/>
    </xf>
    <xf numFmtId="10" fontId="0" fillId="0" borderId="0" xfId="0" applyNumberFormat="1" applyAlignment="1">
      <alignment horizontal="right"/>
    </xf>
    <xf numFmtId="49" fontId="0" fillId="0" borderId="0" xfId="0" applyNumberFormat="1" applyAlignment="1">
      <alignment vertical="center" wrapText="1"/>
    </xf>
    <xf numFmtId="0" fontId="0" fillId="0" borderId="0" xfId="0" applyAlignment="1">
      <alignment vertical="center" wrapText="1"/>
    </xf>
    <xf numFmtId="0" fontId="9" fillId="0" borderId="0" xfId="0" applyFont="1" applyAlignment="1">
      <alignment horizontal="center" vertical="center"/>
    </xf>
    <xf numFmtId="0" fontId="10" fillId="3" borderId="5" xfId="0" applyFont="1" applyFill="1" applyBorder="1"/>
    <xf numFmtId="0" fontId="10" fillId="3" borderId="5" xfId="0" applyFont="1" applyFill="1" applyBorder="1" applyAlignment="1">
      <alignment horizontal="left"/>
    </xf>
    <xf numFmtId="0" fontId="10" fillId="4" borderId="5" xfId="0" applyFont="1" applyFill="1" applyBorder="1" applyAlignment="1">
      <alignment horizontal="left"/>
    </xf>
    <xf numFmtId="0" fontId="10" fillId="5" borderId="5" xfId="0" applyFont="1" applyFill="1" applyBorder="1" applyAlignment="1">
      <alignment horizontal="left"/>
    </xf>
    <xf numFmtId="0" fontId="12" fillId="6" borderId="0" xfId="0" applyFont="1" applyFill="1"/>
    <xf numFmtId="0" fontId="0" fillId="6" borderId="5" xfId="0" applyFill="1" applyBorder="1"/>
    <xf numFmtId="0" fontId="12" fillId="6" borderId="5" xfId="0" applyFont="1" applyFill="1" applyBorder="1" applyAlignment="1">
      <alignment horizontal="left"/>
    </xf>
    <xf numFmtId="0" fontId="12" fillId="0" borderId="5" xfId="0" applyFont="1" applyBorder="1" applyAlignment="1">
      <alignment horizontal="left"/>
    </xf>
    <xf numFmtId="0" fontId="13" fillId="2" borderId="5" xfId="0" applyFont="1" applyFill="1" applyBorder="1" applyAlignment="1">
      <alignment horizontal="right"/>
    </xf>
    <xf numFmtId="3" fontId="13" fillId="2" borderId="2" xfId="0" applyNumberFormat="1" applyFont="1" applyFill="1" applyBorder="1"/>
    <xf numFmtId="3" fontId="13" fillId="2" borderId="9" xfId="0" applyNumberFormat="1" applyFont="1" applyFill="1" applyBorder="1"/>
    <xf numFmtId="0" fontId="11" fillId="7" borderId="0" xfId="0" applyFont="1" applyFill="1" applyBorder="1" applyAlignment="1">
      <alignment horizontal="center" wrapText="1"/>
    </xf>
    <xf numFmtId="1" fontId="11" fillId="7" borderId="0" xfId="0" applyNumberFormat="1" applyFont="1" applyFill="1" applyBorder="1" applyAlignment="1">
      <alignment horizontal="right" wrapText="1"/>
    </xf>
    <xf numFmtId="0" fontId="0" fillId="0" borderId="0" xfId="0" applyAlignment="1"/>
    <xf numFmtId="0" fontId="14" fillId="0" borderId="8" xfId="0" applyFont="1" applyBorder="1" applyAlignment="1">
      <alignment wrapText="1"/>
    </xf>
    <xf numFmtId="3" fontId="0" fillId="0" borderId="0" xfId="0" quotePrefix="1" applyNumberFormat="1" applyAlignment="1">
      <alignment horizontal="right"/>
    </xf>
    <xf numFmtId="0" fontId="0" fillId="0" borderId="0" xfId="0" applyNumberFormat="1"/>
    <xf numFmtId="0" fontId="0" fillId="0" borderId="0" xfId="0"/>
    <xf numFmtId="0" fontId="9" fillId="0" borderId="0" xfId="0" applyFont="1" applyAlignment="1">
      <alignment horizontal="center" vertical="center"/>
    </xf>
    <xf numFmtId="0" fontId="15" fillId="0" borderId="0" xfId="0" applyFont="1" applyAlignment="1">
      <alignment horizontal="center" vertical="center"/>
    </xf>
    <xf numFmtId="0" fontId="17" fillId="0" borderId="0" xfId="0" applyFont="1" applyAlignment="1">
      <alignment horizontal="center" vertical="center"/>
    </xf>
    <xf numFmtId="0" fontId="19" fillId="2" borderId="0" xfId="0" applyFont="1" applyFill="1"/>
    <xf numFmtId="167" fontId="18" fillId="2" borderId="0" xfId="0" applyNumberFormat="1" applyFont="1" applyFill="1" applyAlignment="1">
      <alignment horizontal="left"/>
    </xf>
    <xf numFmtId="0" fontId="18" fillId="2" borderId="0" xfId="0" applyFont="1" applyFill="1" applyAlignment="1">
      <alignment horizontal="left"/>
    </xf>
    <xf numFmtId="164" fontId="18" fillId="2" borderId="0" xfId="0" applyNumberFormat="1" applyFont="1" applyFill="1" applyAlignment="1">
      <alignment horizontal="left"/>
    </xf>
    <xf numFmtId="0" fontId="20" fillId="0" borderId="0" xfId="0" applyFont="1"/>
    <xf numFmtId="0" fontId="10" fillId="5" borderId="0" xfId="0" applyFont="1" applyFill="1" applyBorder="1" applyAlignment="1">
      <alignment horizontal="left"/>
    </xf>
    <xf numFmtId="0" fontId="12" fillId="6" borderId="0" xfId="0" applyFont="1" applyFill="1" applyBorder="1" applyAlignment="1">
      <alignment horizontal="left"/>
    </xf>
    <xf numFmtId="0" fontId="0" fillId="0" borderId="0" xfId="0"/>
    <xf numFmtId="0" fontId="18" fillId="2" borderId="0" xfId="0" applyFont="1" applyFill="1" applyAlignment="1">
      <alignment horizontal="left"/>
    </xf>
    <xf numFmtId="14" fontId="18" fillId="2" borderId="0" xfId="0" applyNumberFormat="1" applyFont="1" applyFill="1" applyAlignment="1">
      <alignment horizontal="left"/>
    </xf>
    <xf numFmtId="0" fontId="12" fillId="6" borderId="0" xfId="0" quotePrefix="1" applyNumberFormat="1" applyFont="1" applyFill="1"/>
    <xf numFmtId="170" fontId="12" fillId="6" borderId="0" xfId="0" quotePrefix="1" applyNumberFormat="1" applyFont="1" applyFill="1"/>
    <xf numFmtId="0" fontId="0" fillId="0" borderId="0" xfId="0"/>
    <xf numFmtId="0" fontId="0" fillId="0" borderId="5" xfId="0" applyBorder="1"/>
    <xf numFmtId="0" fontId="0" fillId="0" borderId="0" xfId="0"/>
    <xf numFmtId="0" fontId="18" fillId="2" borderId="0" xfId="0" applyFont="1" applyFill="1" applyAlignment="1"/>
    <xf numFmtId="0" fontId="18" fillId="0" borderId="0" xfId="0" applyFont="1" applyFill="1" applyAlignment="1"/>
    <xf numFmtId="0" fontId="18" fillId="0" borderId="0" xfId="0" applyFont="1" applyFill="1" applyAlignment="1">
      <alignment horizontal="left"/>
    </xf>
    <xf numFmtId="43" fontId="22" fillId="10" borderId="0" xfId="6" applyNumberFormat="1" applyFont="1" applyFill="1" applyBorder="1" applyAlignment="1">
      <alignment horizontal="center" vertical="center" wrapText="1"/>
    </xf>
    <xf numFmtId="2" fontId="22" fillId="10" borderId="14" xfId="0" applyNumberFormat="1" applyFont="1" applyFill="1" applyBorder="1" applyAlignment="1">
      <alignment horizontal="center" vertical="center" wrapText="1"/>
    </xf>
    <xf numFmtId="43" fontId="22" fillId="10" borderId="14" xfId="6" applyNumberFormat="1" applyFont="1" applyFill="1" applyBorder="1" applyAlignment="1">
      <alignment horizontal="center" vertical="center" wrapText="1"/>
    </xf>
    <xf numFmtId="171" fontId="22" fillId="10" borderId="14" xfId="6" applyNumberFormat="1" applyFont="1" applyFill="1" applyBorder="1" applyAlignment="1">
      <alignment horizontal="center" vertical="center" wrapText="1"/>
    </xf>
    <xf numFmtId="43" fontId="0" fillId="11" borderId="15" xfId="6" applyNumberFormat="1" applyFont="1" applyFill="1" applyBorder="1"/>
    <xf numFmtId="2" fontId="0" fillId="11" borderId="16" xfId="0" applyNumberFormat="1" applyFont="1" applyFill="1" applyBorder="1"/>
    <xf numFmtId="43" fontId="0" fillId="11" borderId="16" xfId="6" applyNumberFormat="1" applyFont="1" applyFill="1" applyBorder="1"/>
    <xf numFmtId="171" fontId="0" fillId="11" borderId="16" xfId="6" applyNumberFormat="1" applyFont="1" applyFill="1" applyBorder="1"/>
    <xf numFmtId="171" fontId="0" fillId="11" borderId="16" xfId="6" applyNumberFormat="1" applyFont="1" applyFill="1" applyBorder="1" applyAlignment="1">
      <alignment horizontal="center" vertical="center"/>
    </xf>
    <xf numFmtId="43" fontId="0" fillId="12" borderId="17" xfId="6" applyNumberFormat="1" applyFont="1" applyFill="1" applyBorder="1"/>
    <xf numFmtId="2" fontId="0" fillId="12" borderId="18" xfId="0" applyNumberFormat="1" applyFont="1" applyFill="1" applyBorder="1"/>
    <xf numFmtId="43" fontId="0" fillId="12" borderId="18" xfId="6" applyNumberFormat="1" applyFont="1" applyFill="1" applyBorder="1"/>
    <xf numFmtId="171" fontId="0" fillId="12" borderId="18" xfId="6" applyNumberFormat="1" applyFont="1" applyFill="1" applyBorder="1"/>
    <xf numFmtId="171" fontId="0" fillId="12" borderId="18" xfId="6" applyNumberFormat="1" applyFont="1" applyFill="1" applyBorder="1" applyAlignment="1">
      <alignment horizontal="center" vertical="center"/>
    </xf>
    <xf numFmtId="43" fontId="0" fillId="11" borderId="17" xfId="6" applyNumberFormat="1" applyFont="1" applyFill="1" applyBorder="1"/>
    <xf numFmtId="2" fontId="0" fillId="11" borderId="18" xfId="0" applyNumberFormat="1" applyFont="1" applyFill="1" applyBorder="1"/>
    <xf numFmtId="43" fontId="0" fillId="11" borderId="18" xfId="6" applyNumberFormat="1" applyFont="1" applyFill="1" applyBorder="1"/>
    <xf numFmtId="171" fontId="0" fillId="11" borderId="18" xfId="6" applyNumberFormat="1" applyFont="1" applyFill="1" applyBorder="1"/>
    <xf numFmtId="171" fontId="0" fillId="11" borderId="18" xfId="6" applyNumberFormat="1" applyFont="1" applyFill="1" applyBorder="1" applyAlignment="1">
      <alignment horizontal="center" vertical="center"/>
    </xf>
    <xf numFmtId="168" fontId="0" fillId="0" borderId="0" xfId="6" applyNumberFormat="1" applyFont="1"/>
    <xf numFmtId="0" fontId="0" fillId="0" borderId="0" xfId="0"/>
    <xf numFmtId="0" fontId="0" fillId="0" borderId="0" xfId="0" applyAlignment="1"/>
    <xf numFmtId="0" fontId="0" fillId="0" borderId="0" xfId="0" applyAlignment="1">
      <alignment horizontal="right"/>
    </xf>
    <xf numFmtId="0" fontId="0" fillId="0" borderId="0" xfId="0" applyAlignment="1">
      <alignment horizontal="center"/>
    </xf>
    <xf numFmtId="0" fontId="1" fillId="0" borderId="5" xfId="0" applyFont="1" applyBorder="1" applyAlignment="1">
      <alignment horizontal="center"/>
    </xf>
    <xf numFmtId="168" fontId="0" fillId="0" borderId="5" xfId="6" applyNumberFormat="1" applyFont="1" applyBorder="1" applyAlignment="1">
      <alignment horizontal="center"/>
    </xf>
    <xf numFmtId="0" fontId="12" fillId="0" borderId="5" xfId="0" applyFont="1" applyFill="1" applyBorder="1" applyAlignment="1">
      <alignment horizontal="left"/>
    </xf>
    <xf numFmtId="168" fontId="0" fillId="0" borderId="5" xfId="6" applyNumberFormat="1" applyFont="1" applyBorder="1"/>
    <xf numFmtId="0" fontId="12" fillId="13" borderId="5" xfId="0" applyFont="1" applyFill="1" applyBorder="1" applyAlignment="1">
      <alignment horizontal="left"/>
    </xf>
    <xf numFmtId="168" fontId="0" fillId="13" borderId="5" xfId="6" applyNumberFormat="1" applyFont="1" applyFill="1" applyBorder="1"/>
    <xf numFmtId="0" fontId="1" fillId="0" borderId="0" xfId="0" applyFont="1"/>
    <xf numFmtId="168" fontId="1" fillId="0" borderId="1" xfId="6" applyNumberFormat="1" applyFont="1" applyBorder="1" applyAlignment="1">
      <alignment horizontal="center"/>
    </xf>
    <xf numFmtId="0" fontId="1" fillId="0" borderId="0" xfId="0" applyFont="1" applyAlignment="1">
      <alignment horizontal="center"/>
    </xf>
    <xf numFmtId="168" fontId="0" fillId="14" borderId="0" xfId="6" applyNumberFormat="1" applyFont="1" applyFill="1"/>
    <xf numFmtId="168" fontId="0" fillId="14" borderId="40" xfId="6" applyNumberFormat="1" applyFont="1" applyFill="1" applyBorder="1"/>
    <xf numFmtId="0" fontId="0" fillId="13" borderId="5" xfId="0" applyFill="1" applyBorder="1"/>
    <xf numFmtId="0" fontId="12" fillId="0" borderId="5" xfId="0" applyFont="1" applyFill="1" applyBorder="1" applyAlignment="1">
      <alignment horizontal="right"/>
    </xf>
    <xf numFmtId="10" fontId="0" fillId="14" borderId="0" xfId="39" applyNumberFormat="1" applyFont="1" applyFill="1"/>
    <xf numFmtId="0" fontId="0" fillId="0" borderId="0" xfId="0" quotePrefix="1" applyAlignment="1"/>
    <xf numFmtId="168" fontId="0" fillId="14" borderId="0" xfId="6" applyNumberFormat="1" applyFont="1" applyFill="1" applyAlignment="1"/>
    <xf numFmtId="0" fontId="21" fillId="0" borderId="0" xfId="18" applyProtection="1"/>
    <xf numFmtId="0" fontId="33" fillId="6" borderId="0" xfId="18" applyFont="1" applyFill="1" applyBorder="1" applyAlignment="1" applyProtection="1">
      <alignment horizontal="center" vertical="center"/>
    </xf>
    <xf numFmtId="0" fontId="21" fillId="0" borderId="0" xfId="18" applyBorder="1" applyProtection="1"/>
    <xf numFmtId="0" fontId="36" fillId="0" borderId="5" xfId="18" applyFont="1" applyBorder="1" applyAlignment="1" applyProtection="1">
      <alignment horizontal="center"/>
    </xf>
    <xf numFmtId="172" fontId="32" fillId="0" borderId="5" xfId="18" applyNumberFormat="1" applyFont="1" applyFill="1" applyBorder="1" applyAlignment="1" applyProtection="1">
      <alignment horizontal="center" vertical="center"/>
      <protection hidden="1"/>
    </xf>
    <xf numFmtId="0" fontId="34" fillId="0" borderId="5" xfId="3" applyFont="1" applyFill="1" applyBorder="1" applyProtection="1">
      <protection hidden="1"/>
    </xf>
    <xf numFmtId="0" fontId="21" fillId="9" borderId="5" xfId="4" applyNumberFormat="1" applyFont="1" applyFill="1" applyBorder="1" applyAlignment="1" applyProtection="1">
      <protection locked="0" hidden="1"/>
    </xf>
    <xf numFmtId="2" fontId="21" fillId="0" borderId="5" xfId="3" applyNumberFormat="1" applyFont="1" applyFill="1" applyBorder="1" applyProtection="1">
      <protection hidden="1"/>
    </xf>
    <xf numFmtId="0" fontId="21" fillId="0" borderId="5" xfId="3" applyFont="1" applyFill="1" applyBorder="1" applyProtection="1">
      <protection hidden="1"/>
    </xf>
    <xf numFmtId="0" fontId="21" fillId="9" borderId="10" xfId="4" applyNumberFormat="1" applyFont="1" applyFill="1" applyBorder="1" applyAlignment="1" applyProtection="1">
      <protection locked="0" hidden="1"/>
    </xf>
    <xf numFmtId="0" fontId="21" fillId="0" borderId="10" xfId="3" applyFont="1" applyFill="1" applyBorder="1" applyProtection="1">
      <protection hidden="1"/>
    </xf>
    <xf numFmtId="0" fontId="21" fillId="0" borderId="2" xfId="18" applyBorder="1" applyProtection="1"/>
    <xf numFmtId="0" fontId="36" fillId="0" borderId="2" xfId="18" applyFont="1" applyBorder="1" applyProtection="1"/>
    <xf numFmtId="0" fontId="21" fillId="0" borderId="9" xfId="18" applyBorder="1" applyProtection="1"/>
    <xf numFmtId="168" fontId="21" fillId="0" borderId="5" xfId="5" applyNumberFormat="1" applyBorder="1" applyProtection="1"/>
    <xf numFmtId="0" fontId="21" fillId="0" borderId="0" xfId="18" applyFill="1" applyBorder="1" applyAlignment="1" applyProtection="1">
      <alignment horizontal="left"/>
    </xf>
    <xf numFmtId="168" fontId="21" fillId="0" borderId="0" xfId="5" applyNumberFormat="1" applyFill="1" applyBorder="1" applyProtection="1"/>
    <xf numFmtId="0" fontId="36" fillId="0" borderId="12" xfId="18" applyFont="1" applyBorder="1" applyAlignment="1" applyProtection="1">
      <alignment horizontal="center"/>
    </xf>
    <xf numFmtId="0" fontId="35" fillId="0" borderId="0" xfId="18" applyFont="1" applyFill="1" applyBorder="1" applyAlignment="1" applyProtection="1">
      <alignment wrapText="1"/>
    </xf>
    <xf numFmtId="0" fontId="21" fillId="0" borderId="0" xfId="18" applyFont="1" applyFill="1" applyBorder="1" applyProtection="1"/>
    <xf numFmtId="0" fontId="38" fillId="7" borderId="5" xfId="18" applyFont="1" applyFill="1" applyBorder="1" applyAlignment="1" applyProtection="1">
      <alignment horizontal="center"/>
    </xf>
    <xf numFmtId="0" fontId="40" fillId="7" borderId="5" xfId="18" applyFont="1" applyFill="1" applyBorder="1" applyAlignment="1" applyProtection="1">
      <alignment horizontal="center"/>
    </xf>
    <xf numFmtId="0" fontId="40" fillId="7" borderId="47" xfId="18" applyFont="1" applyFill="1" applyBorder="1" applyAlignment="1" applyProtection="1">
      <alignment horizontal="center"/>
    </xf>
    <xf numFmtId="0" fontId="34" fillId="0" borderId="0" xfId="18" applyFont="1" applyFill="1" applyBorder="1" applyAlignment="1" applyProtection="1"/>
    <xf numFmtId="0" fontId="21" fillId="0" borderId="5" xfId="18" applyFont="1" applyBorder="1" applyAlignment="1" applyProtection="1">
      <alignment horizontal="center"/>
    </xf>
    <xf numFmtId="173" fontId="21" fillId="0" borderId="0" xfId="18" applyNumberFormat="1" applyBorder="1" applyProtection="1"/>
    <xf numFmtId="173" fontId="21" fillId="0" borderId="0" xfId="18" applyNumberFormat="1" applyBorder="1" applyAlignment="1" applyProtection="1">
      <alignment horizontal="center"/>
    </xf>
    <xf numFmtId="0" fontId="21" fillId="0" borderId="23" xfId="18" applyBorder="1" applyAlignment="1" applyProtection="1">
      <alignment horizontal="right"/>
    </xf>
    <xf numFmtId="1" fontId="21" fillId="0" borderId="0" xfId="18" applyNumberFormat="1" applyFill="1" applyBorder="1" applyAlignment="1" applyProtection="1">
      <alignment horizontal="center"/>
    </xf>
    <xf numFmtId="0" fontId="21" fillId="0" borderId="0" xfId="18" applyFill="1" applyBorder="1" applyProtection="1"/>
    <xf numFmtId="0" fontId="21" fillId="0" borderId="0" xfId="18" applyBorder="1" applyAlignment="1" applyProtection="1">
      <alignment horizontal="center"/>
    </xf>
    <xf numFmtId="0" fontId="21" fillId="0" borderId="23" xfId="18" applyBorder="1" applyProtection="1"/>
    <xf numFmtId="0" fontId="21" fillId="0" borderId="46" xfId="18" applyBorder="1" applyProtection="1"/>
    <xf numFmtId="0" fontId="21" fillId="0" borderId="9" xfId="18" applyFont="1" applyBorder="1" applyAlignment="1" applyProtection="1"/>
    <xf numFmtId="43" fontId="21" fillId="0" borderId="50" xfId="5" applyNumberFormat="1" applyBorder="1" applyProtection="1"/>
    <xf numFmtId="0" fontId="21" fillId="0" borderId="3" xfId="18" applyBorder="1" applyProtection="1"/>
    <xf numFmtId="0" fontId="21" fillId="0" borderId="50" xfId="18" applyFont="1" applyBorder="1" applyAlignment="1" applyProtection="1">
      <alignment horizontal="center"/>
    </xf>
    <xf numFmtId="0" fontId="21" fillId="0" borderId="50" xfId="18" applyBorder="1" applyAlignment="1" applyProtection="1">
      <alignment horizontal="center"/>
    </xf>
    <xf numFmtId="168" fontId="34" fillId="0" borderId="50" xfId="5" applyNumberFormat="1" applyFont="1" applyBorder="1" applyAlignment="1" applyProtection="1"/>
    <xf numFmtId="168" fontId="34" fillId="0" borderId="51" xfId="5" applyNumberFormat="1" applyFont="1" applyBorder="1" applyProtection="1"/>
    <xf numFmtId="0" fontId="41" fillId="0" borderId="0" xfId="18" applyFont="1" applyBorder="1" applyAlignment="1" applyProtection="1"/>
    <xf numFmtId="0" fontId="21" fillId="0" borderId="0" xfId="18" applyBorder="1" applyAlignment="1" applyProtection="1"/>
    <xf numFmtId="0" fontId="21" fillId="0" borderId="22" xfId="18" applyBorder="1" applyProtection="1"/>
    <xf numFmtId="0" fontId="21" fillId="0" borderId="0" xfId="18" applyFill="1" applyBorder="1" applyAlignment="1" applyProtection="1"/>
    <xf numFmtId="0" fontId="21" fillId="0" borderId="23" xfId="18" applyFill="1" applyBorder="1" applyAlignment="1" applyProtection="1"/>
    <xf numFmtId="0" fontId="21" fillId="0" borderId="55" xfId="18" applyBorder="1" applyProtection="1"/>
    <xf numFmtId="0" fontId="21" fillId="0" borderId="40" xfId="18" applyBorder="1" applyProtection="1"/>
    <xf numFmtId="0" fontId="36" fillId="0" borderId="0" xfId="18" applyFont="1" applyFill="1" applyBorder="1" applyAlignment="1" applyProtection="1">
      <alignment horizontal="center"/>
    </xf>
    <xf numFmtId="168" fontId="36" fillId="0" borderId="8" xfId="18" applyNumberFormat="1" applyFont="1" applyBorder="1" applyAlignment="1" applyProtection="1"/>
    <xf numFmtId="168" fontId="36" fillId="0" borderId="0" xfId="5" applyNumberFormat="1" applyFont="1" applyFill="1" applyBorder="1" applyAlignment="1" applyProtection="1">
      <alignment horizontal="center"/>
    </xf>
    <xf numFmtId="1" fontId="11" fillId="7" borderId="0" xfId="0" applyNumberFormat="1" applyFont="1" applyFill="1" applyBorder="1" applyAlignment="1">
      <alignment horizontal="center" vertical="center" wrapText="1"/>
    </xf>
    <xf numFmtId="0" fontId="11" fillId="7" borderId="0" xfId="0" applyFont="1" applyFill="1" applyBorder="1" applyAlignment="1">
      <alignment horizontal="center" vertical="center" wrapText="1"/>
    </xf>
    <xf numFmtId="4" fontId="14" fillId="0" borderId="6" xfId="0" applyNumberFormat="1" applyFont="1" applyBorder="1" applyAlignment="1">
      <alignment horizontal="right" wrapText="1"/>
    </xf>
    <xf numFmtId="0" fontId="0" fillId="0" borderId="0" xfId="0" quotePrefix="1"/>
    <xf numFmtId="0" fontId="0" fillId="0" borderId="0" xfId="0"/>
    <xf numFmtId="0" fontId="0" fillId="0" borderId="5" xfId="0" quotePrefix="1" applyBorder="1" applyAlignment="1"/>
    <xf numFmtId="0" fontId="1" fillId="0" borderId="5" xfId="0" quotePrefix="1" applyFont="1" applyBorder="1" applyAlignment="1">
      <alignment horizontal="center"/>
    </xf>
    <xf numFmtId="168" fontId="1" fillId="0" borderId="5" xfId="6" applyNumberFormat="1" applyFont="1" applyBorder="1" applyAlignment="1">
      <alignment horizontal="center"/>
    </xf>
    <xf numFmtId="0" fontId="0" fillId="0" borderId="5" xfId="0" applyBorder="1" applyAlignment="1">
      <alignment wrapText="1"/>
    </xf>
    <xf numFmtId="0" fontId="0" fillId="0" borderId="5" xfId="0" applyFill="1" applyBorder="1"/>
    <xf numFmtId="0" fontId="0" fillId="0" borderId="0" xfId="0"/>
    <xf numFmtId="0" fontId="0" fillId="0" borderId="0" xfId="0"/>
    <xf numFmtId="0" fontId="0" fillId="0" borderId="0" xfId="0" applyAlignment="1" applyProtection="1">
      <protection locked="0"/>
    </xf>
    <xf numFmtId="0" fontId="14" fillId="0" borderId="0" xfId="0" applyFont="1" applyFill="1" applyBorder="1" applyAlignment="1" applyProtection="1">
      <alignment horizontal="center" wrapText="1"/>
      <protection locked="0"/>
    </xf>
    <xf numFmtId="0" fontId="14" fillId="2" borderId="7" xfId="0" applyFont="1" applyFill="1" applyBorder="1" applyAlignment="1">
      <alignment horizontal="center" wrapText="1"/>
    </xf>
    <xf numFmtId="3" fontId="14" fillId="2" borderId="6" xfId="0" applyNumberFormat="1" applyFont="1" applyFill="1" applyBorder="1" applyAlignment="1">
      <alignment horizontal="center" wrapText="1"/>
    </xf>
    <xf numFmtId="0" fontId="14" fillId="2" borderId="6" xfId="0" applyFont="1" applyFill="1" applyBorder="1" applyAlignment="1">
      <alignment horizontal="center" wrapText="1"/>
    </xf>
    <xf numFmtId="3" fontId="14" fillId="2" borderId="6" xfId="0" applyNumberFormat="1" applyFont="1" applyFill="1" applyBorder="1" applyAlignment="1">
      <alignment horizontal="right" wrapText="1"/>
    </xf>
    <xf numFmtId="4" fontId="14" fillId="2" borderId="6" xfId="0" applyNumberFormat="1" applyFont="1" applyFill="1" applyBorder="1" applyAlignment="1">
      <alignment horizontal="right" wrapText="1"/>
    </xf>
    <xf numFmtId="0" fontId="14" fillId="2" borderId="6" xfId="0" applyFont="1" applyFill="1" applyBorder="1" applyAlignment="1">
      <alignment wrapText="1"/>
    </xf>
    <xf numFmtId="168" fontId="43" fillId="8" borderId="80" xfId="6" applyNumberFormat="1" applyFont="1" applyFill="1" applyBorder="1" applyProtection="1">
      <protection locked="0"/>
    </xf>
    <xf numFmtId="168" fontId="43" fillId="8" borderId="82" xfId="6" applyNumberFormat="1" applyFont="1" applyFill="1" applyBorder="1" applyProtection="1">
      <protection locked="0"/>
    </xf>
    <xf numFmtId="168" fontId="43" fillId="8" borderId="84" xfId="6" applyNumberFormat="1" applyFont="1" applyFill="1" applyBorder="1" applyProtection="1">
      <protection locked="0"/>
    </xf>
    <xf numFmtId="168" fontId="46" fillId="15" borderId="5" xfId="5" applyNumberFormat="1" applyFont="1" applyFill="1" applyBorder="1" applyProtection="1">
      <protection locked="0"/>
    </xf>
    <xf numFmtId="168" fontId="42" fillId="0" borderId="5" xfId="5" applyNumberFormat="1" applyFont="1" applyBorder="1" applyProtection="1"/>
    <xf numFmtId="0" fontId="46" fillId="0" borderId="2" xfId="18" applyFont="1" applyBorder="1" applyAlignment="1" applyProtection="1"/>
    <xf numFmtId="168" fontId="46" fillId="15" borderId="5" xfId="5" applyNumberFormat="1" applyFont="1" applyFill="1" applyBorder="1" applyProtection="1"/>
    <xf numFmtId="168" fontId="42" fillId="0" borderId="5" xfId="5" applyNumberFormat="1" applyFont="1" applyFill="1" applyBorder="1" applyProtection="1"/>
    <xf numFmtId="43" fontId="46" fillId="0" borderId="5" xfId="5" applyNumberFormat="1" applyFont="1" applyBorder="1" applyProtection="1"/>
    <xf numFmtId="0" fontId="46" fillId="0" borderId="1" xfId="18" applyFont="1" applyBorder="1" applyProtection="1"/>
    <xf numFmtId="168" fontId="46" fillId="0" borderId="13" xfId="5" applyNumberFormat="1" applyFont="1" applyBorder="1" applyProtection="1"/>
    <xf numFmtId="168" fontId="46" fillId="0" borderId="5" xfId="5" applyNumberFormat="1" applyFont="1" applyBorder="1" applyProtection="1"/>
    <xf numFmtId="43" fontId="46" fillId="0" borderId="50" xfId="5" applyNumberFormat="1" applyFont="1" applyBorder="1" applyProtection="1"/>
    <xf numFmtId="0" fontId="46" fillId="0" borderId="40" xfId="18" applyFont="1" applyBorder="1" applyProtection="1"/>
    <xf numFmtId="0" fontId="46" fillId="0" borderId="0" xfId="18" applyFont="1" applyBorder="1" applyProtection="1"/>
    <xf numFmtId="168" fontId="46" fillId="0" borderId="5" xfId="5" applyNumberFormat="1" applyFont="1" applyBorder="1" applyAlignment="1" applyProtection="1"/>
    <xf numFmtId="0" fontId="46" fillId="0" borderId="5" xfId="18" applyFont="1" applyBorder="1" applyAlignment="1" applyProtection="1">
      <alignment horizontal="center"/>
    </xf>
    <xf numFmtId="168" fontId="47" fillId="0" borderId="5" xfId="5" applyNumberFormat="1" applyFont="1" applyBorder="1" applyAlignment="1" applyProtection="1"/>
    <xf numFmtId="168" fontId="47" fillId="0" borderId="47" xfId="5" applyNumberFormat="1" applyFont="1" applyBorder="1" applyProtection="1"/>
    <xf numFmtId="0" fontId="46" fillId="0" borderId="50" xfId="18" applyFont="1" applyBorder="1" applyAlignment="1" applyProtection="1">
      <alignment horizontal="center"/>
    </xf>
    <xf numFmtId="168" fontId="47" fillId="0" borderId="50" xfId="5" applyNumberFormat="1" applyFont="1" applyBorder="1" applyAlignment="1" applyProtection="1"/>
    <xf numFmtId="168" fontId="47" fillId="0" borderId="51" xfId="5" applyNumberFormat="1" applyFont="1" applyBorder="1" applyProtection="1"/>
    <xf numFmtId="0" fontId="46" fillId="0" borderId="5" xfId="18" applyFont="1" applyFill="1" applyBorder="1" applyAlignment="1" applyProtection="1">
      <alignment horizontal="center"/>
    </xf>
    <xf numFmtId="37" fontId="42" fillId="0" borderId="48" xfId="18" applyNumberFormat="1" applyFont="1" applyBorder="1" applyAlignment="1" applyProtection="1">
      <alignment horizontal="right"/>
    </xf>
    <xf numFmtId="0" fontId="43" fillId="8" borderId="5" xfId="6" applyNumberFormat="1" applyFont="1" applyFill="1" applyBorder="1" applyAlignment="1" applyProtection="1">
      <alignment horizontal="center"/>
      <protection locked="0"/>
    </xf>
    <xf numFmtId="2" fontId="43" fillId="8" borderId="11" xfId="6" applyNumberFormat="1" applyFont="1" applyFill="1" applyBorder="1" applyAlignment="1" applyProtection="1">
      <alignment horizontal="center" vertical="center"/>
      <protection locked="0"/>
    </xf>
    <xf numFmtId="2" fontId="43" fillId="8" borderId="42" xfId="6" applyNumberFormat="1" applyFont="1" applyFill="1" applyBorder="1" applyAlignment="1" applyProtection="1">
      <alignment horizontal="center" vertical="center"/>
      <protection locked="0"/>
    </xf>
    <xf numFmtId="2" fontId="43" fillId="8" borderId="56" xfId="6" applyNumberFormat="1" applyFont="1" applyFill="1" applyBorder="1" applyAlignment="1" applyProtection="1">
      <alignment horizontal="center" vertical="center"/>
      <protection locked="0"/>
    </xf>
    <xf numFmtId="0" fontId="43" fillId="8" borderId="31" xfId="6" applyNumberFormat="1" applyFont="1" applyFill="1" applyBorder="1" applyAlignment="1" applyProtection="1">
      <alignment horizontal="center"/>
      <protection locked="0"/>
    </xf>
    <xf numFmtId="0" fontId="0" fillId="2" borderId="6" xfId="0" applyFill="1" applyBorder="1"/>
    <xf numFmtId="0" fontId="24" fillId="0" borderId="66" xfId="0" applyFont="1" applyBorder="1" applyAlignment="1" applyProtection="1">
      <alignment horizontal="center"/>
    </xf>
    <xf numFmtId="0" fontId="24" fillId="0" borderId="0" xfId="0" applyFont="1" applyBorder="1" applyAlignment="1" applyProtection="1">
      <alignment horizontal="center"/>
    </xf>
    <xf numFmtId="0" fontId="24" fillId="0" borderId="75" xfId="0" applyFont="1" applyBorder="1" applyAlignment="1" applyProtection="1"/>
    <xf numFmtId="0" fontId="24" fillId="0" borderId="79" xfId="0" applyFont="1" applyBorder="1" applyAlignment="1" applyProtection="1"/>
    <xf numFmtId="43" fontId="8" fillId="0" borderId="69" xfId="6" applyNumberFormat="1" applyFont="1" applyBorder="1" applyAlignment="1" applyProtection="1">
      <alignment horizontal="center" vertical="center" wrapText="1"/>
    </xf>
    <xf numFmtId="168" fontId="8" fillId="0" borderId="59" xfId="6" applyNumberFormat="1" applyFont="1" applyBorder="1" applyAlignment="1" applyProtection="1">
      <alignment horizontal="center" wrapText="1"/>
    </xf>
    <xf numFmtId="0" fontId="8" fillId="0" borderId="61" xfId="0" applyFont="1" applyBorder="1" applyAlignment="1" applyProtection="1">
      <alignment horizontal="center" wrapText="1"/>
    </xf>
    <xf numFmtId="0" fontId="8" fillId="0" borderId="69" xfId="0" applyFont="1" applyBorder="1" applyAlignment="1" applyProtection="1">
      <alignment horizontal="center" wrapText="1"/>
    </xf>
    <xf numFmtId="168" fontId="43" fillId="12" borderId="0" xfId="6" applyNumberFormat="1" applyFont="1" applyFill="1" applyBorder="1" applyProtection="1"/>
    <xf numFmtId="2" fontId="43" fillId="12" borderId="26" xfId="0" applyNumberFormat="1" applyFont="1" applyFill="1" applyBorder="1" applyProtection="1"/>
    <xf numFmtId="43" fontId="43" fillId="12" borderId="26" xfId="6" applyNumberFormat="1" applyFont="1" applyFill="1" applyBorder="1" applyProtection="1"/>
    <xf numFmtId="168" fontId="43" fillId="12" borderId="27" xfId="6" applyNumberFormat="1" applyFont="1" applyFill="1" applyBorder="1" applyProtection="1"/>
    <xf numFmtId="171" fontId="43" fillId="12" borderId="38" xfId="6" applyNumberFormat="1" applyFont="1" applyFill="1" applyBorder="1" applyProtection="1"/>
    <xf numFmtId="168" fontId="43" fillId="12" borderId="70" xfId="6" applyNumberFormat="1" applyFont="1" applyFill="1" applyBorder="1" applyProtection="1"/>
    <xf numFmtId="168" fontId="43" fillId="12" borderId="81" xfId="0" applyNumberFormat="1" applyFont="1" applyFill="1" applyBorder="1" applyProtection="1"/>
    <xf numFmtId="168" fontId="43" fillId="0" borderId="58" xfId="6" applyNumberFormat="1" applyFont="1" applyBorder="1" applyProtection="1"/>
    <xf numFmtId="2" fontId="43" fillId="0" borderId="28" xfId="0" applyNumberFormat="1" applyFont="1" applyBorder="1" applyProtection="1"/>
    <xf numFmtId="43" fontId="43" fillId="0" borderId="28" xfId="6" applyNumberFormat="1" applyFont="1" applyBorder="1" applyProtection="1"/>
    <xf numFmtId="168" fontId="43" fillId="0" borderId="29" xfId="6" applyNumberFormat="1" applyFont="1" applyBorder="1" applyProtection="1"/>
    <xf numFmtId="171" fontId="43" fillId="0" borderId="37" xfId="6" applyNumberFormat="1" applyFont="1" applyBorder="1" applyProtection="1"/>
    <xf numFmtId="168" fontId="43" fillId="0" borderId="71" xfId="6" applyNumberFormat="1" applyFont="1" applyBorder="1" applyProtection="1"/>
    <xf numFmtId="168" fontId="43" fillId="0" borderId="72" xfId="6" applyNumberFormat="1" applyFont="1" applyBorder="1" applyProtection="1"/>
    <xf numFmtId="168" fontId="43" fillId="0" borderId="83" xfId="0" applyNumberFormat="1" applyFont="1" applyBorder="1" applyProtection="1"/>
    <xf numFmtId="168" fontId="43" fillId="12" borderId="58" xfId="6" applyNumberFormat="1" applyFont="1" applyFill="1" applyBorder="1" applyProtection="1"/>
    <xf numFmtId="2" fontId="43" fillId="12" borderId="28" xfId="0" applyNumberFormat="1" applyFont="1" applyFill="1" applyBorder="1" applyProtection="1"/>
    <xf numFmtId="43" fontId="43" fillId="12" borderId="28" xfId="6" applyNumberFormat="1" applyFont="1" applyFill="1" applyBorder="1" applyProtection="1"/>
    <xf numFmtId="168" fontId="43" fillId="12" borderId="29" xfId="6" applyNumberFormat="1" applyFont="1" applyFill="1" applyBorder="1" applyProtection="1"/>
    <xf numFmtId="171" fontId="43" fillId="12" borderId="36" xfId="6" applyNumberFormat="1" applyFont="1" applyFill="1" applyBorder="1" applyProtection="1"/>
    <xf numFmtId="168" fontId="43" fillId="12" borderId="71" xfId="6" applyNumberFormat="1" applyFont="1" applyFill="1" applyBorder="1" applyProtection="1"/>
    <xf numFmtId="168" fontId="43" fillId="12" borderId="72" xfId="6" applyNumberFormat="1" applyFont="1" applyFill="1" applyBorder="1" applyProtection="1"/>
    <xf numFmtId="168" fontId="43" fillId="12" borderId="83" xfId="0" applyNumberFormat="1" applyFont="1" applyFill="1" applyBorder="1" applyProtection="1"/>
    <xf numFmtId="171" fontId="43" fillId="0" borderId="30" xfId="6" applyNumberFormat="1" applyFont="1" applyBorder="1" applyProtection="1"/>
    <xf numFmtId="171" fontId="43" fillId="12" borderId="30" xfId="6" applyNumberFormat="1" applyFont="1" applyFill="1" applyBorder="1" applyProtection="1"/>
    <xf numFmtId="168" fontId="43" fillId="12" borderId="85" xfId="0" applyNumberFormat="1" applyFont="1" applyFill="1" applyBorder="1" applyProtection="1"/>
    <xf numFmtId="168" fontId="44" fillId="0" borderId="86" xfId="0" applyNumberFormat="1" applyFont="1" applyBorder="1" applyProtection="1"/>
    <xf numFmtId="0" fontId="45" fillId="0" borderId="32" xfId="0" applyNumberFormat="1" applyFont="1" applyBorder="1" applyProtection="1"/>
    <xf numFmtId="0" fontId="45" fillId="0" borderId="57" xfId="0" applyNumberFormat="1" applyFont="1" applyBorder="1" applyProtection="1"/>
    <xf numFmtId="168" fontId="44" fillId="0" borderId="33" xfId="0" applyNumberFormat="1" applyFont="1" applyBorder="1" applyProtection="1"/>
    <xf numFmtId="0" fontId="45" fillId="0" borderId="33" xfId="0" applyFont="1" applyBorder="1" applyProtection="1"/>
    <xf numFmtId="0" fontId="45" fillId="0" borderId="33" xfId="0" applyNumberFormat="1" applyFont="1" applyBorder="1" applyProtection="1"/>
    <xf numFmtId="168" fontId="44" fillId="0" borderId="34" xfId="0" applyNumberFormat="1" applyFont="1" applyBorder="1" applyProtection="1"/>
    <xf numFmtId="0" fontId="45" fillId="0" borderId="35" xfId="0" applyNumberFormat="1" applyFont="1" applyBorder="1" applyProtection="1"/>
    <xf numFmtId="168" fontId="45" fillId="0" borderId="73" xfId="0" applyNumberFormat="1" applyFont="1" applyBorder="1" applyProtection="1"/>
    <xf numFmtId="168" fontId="45" fillId="0" borderId="74" xfId="0" applyNumberFormat="1" applyFont="1" applyBorder="1" applyProtection="1"/>
    <xf numFmtId="168" fontId="0" fillId="0" borderId="1" xfId="6" applyNumberFormat="1" applyFont="1" applyBorder="1" applyProtection="1"/>
    <xf numFmtId="43" fontId="0" fillId="0" borderId="1" xfId="6" applyNumberFormat="1" applyFont="1" applyBorder="1" applyProtection="1"/>
    <xf numFmtId="0" fontId="0" fillId="0" borderId="1" xfId="0" applyBorder="1" applyProtection="1"/>
    <xf numFmtId="0" fontId="0" fillId="0" borderId="0" xfId="0" applyFill="1" applyBorder="1" applyProtection="1">
      <protection locked="0"/>
    </xf>
    <xf numFmtId="168" fontId="0" fillId="0" borderId="0" xfId="6" applyNumberFormat="1" applyFont="1" applyProtection="1">
      <protection locked="0"/>
    </xf>
    <xf numFmtId="43" fontId="0" fillId="0" borderId="0" xfId="6" applyNumberFormat="1" applyFont="1" applyProtection="1">
      <protection locked="0"/>
    </xf>
    <xf numFmtId="0" fontId="0" fillId="0" borderId="0" xfId="0" applyProtection="1">
      <protection locked="0"/>
    </xf>
    <xf numFmtId="0" fontId="23" fillId="0" borderId="0" xfId="0" applyFont="1" applyFill="1" applyBorder="1" applyAlignment="1" applyProtection="1">
      <protection locked="0"/>
    </xf>
    <xf numFmtId="0" fontId="24" fillId="0" borderId="0" xfId="0" applyFont="1" applyBorder="1" applyAlignment="1" applyProtection="1">
      <protection locked="0"/>
    </xf>
    <xf numFmtId="0" fontId="24" fillId="0" borderId="0" xfId="0" applyFont="1" applyFill="1" applyBorder="1" applyAlignment="1" applyProtection="1">
      <alignment horizontal="center"/>
      <protection locked="0"/>
    </xf>
    <xf numFmtId="0" fontId="25" fillId="0" borderId="0" xfId="0" applyFont="1" applyFill="1" applyBorder="1" applyProtection="1">
      <protection locked="0"/>
    </xf>
    <xf numFmtId="0" fontId="25" fillId="0" borderId="0" xfId="0" applyFont="1" applyFill="1" applyBorder="1" applyAlignment="1" applyProtection="1">
      <alignment horizontal="center"/>
      <protection locked="0"/>
    </xf>
    <xf numFmtId="0" fontId="8" fillId="0" borderId="0" xfId="0" applyFont="1" applyFill="1" applyBorder="1" applyAlignment="1" applyProtection="1">
      <alignment horizontal="center" wrapText="1"/>
      <protection locked="0"/>
    </xf>
    <xf numFmtId="0" fontId="0" fillId="0" borderId="0" xfId="0" applyAlignment="1" applyProtection="1">
      <alignment horizontal="center" wrapText="1"/>
      <protection locked="0"/>
    </xf>
    <xf numFmtId="0" fontId="18" fillId="0" borderId="0" xfId="0" applyFont="1" applyProtection="1">
      <protection locked="0"/>
    </xf>
    <xf numFmtId="0" fontId="26" fillId="0" borderId="0" xfId="0" applyNumberFormat="1" applyFont="1" applyFill="1" applyBorder="1" applyAlignment="1" applyProtection="1">
      <alignment horizontal="left"/>
      <protection locked="0"/>
    </xf>
    <xf numFmtId="49" fontId="0" fillId="0" borderId="0" xfId="0" applyNumberFormat="1" applyFill="1" applyBorder="1" applyProtection="1">
      <protection locked="0"/>
    </xf>
    <xf numFmtId="168" fontId="43" fillId="12" borderId="26" xfId="6" applyNumberFormat="1" applyFont="1" applyFill="1" applyBorder="1" applyProtection="1"/>
    <xf numFmtId="168" fontId="43" fillId="0" borderId="28" xfId="6" applyNumberFormat="1" applyFont="1" applyBorder="1" applyProtection="1"/>
    <xf numFmtId="168" fontId="43" fillId="12" borderId="28" xfId="6" applyNumberFormat="1" applyFont="1" applyFill="1" applyBorder="1" applyProtection="1"/>
    <xf numFmtId="168" fontId="43" fillId="12" borderId="87" xfId="6" applyNumberFormat="1" applyFont="1" applyFill="1" applyBorder="1" applyProtection="1"/>
    <xf numFmtId="168" fontId="43" fillId="0" borderId="88" xfId="6" applyNumberFormat="1" applyFont="1" applyBorder="1" applyProtection="1"/>
    <xf numFmtId="168" fontId="43" fillId="12" borderId="88" xfId="6" applyNumberFormat="1" applyFont="1" applyFill="1" applyBorder="1" applyProtection="1"/>
    <xf numFmtId="168" fontId="45" fillId="0" borderId="89" xfId="0" applyNumberFormat="1" applyFont="1" applyBorder="1" applyProtection="1"/>
    <xf numFmtId="171" fontId="43" fillId="12" borderId="90" xfId="6" applyNumberFormat="1" applyFont="1" applyFill="1" applyBorder="1" applyProtection="1"/>
    <xf numFmtId="171" fontId="43" fillId="0" borderId="91" xfId="6" applyNumberFormat="1" applyFont="1" applyBorder="1" applyProtection="1"/>
    <xf numFmtId="171" fontId="43" fillId="12" borderId="92" xfId="6" applyNumberFormat="1" applyFont="1" applyFill="1" applyBorder="1" applyProtection="1"/>
    <xf numFmtId="171" fontId="43" fillId="12" borderId="91" xfId="6" applyNumberFormat="1" applyFont="1" applyFill="1" applyBorder="1" applyProtection="1"/>
    <xf numFmtId="0" fontId="45" fillId="0" borderId="93" xfId="0" applyNumberFormat="1" applyFont="1" applyBorder="1" applyProtection="1"/>
    <xf numFmtId="168" fontId="8" fillId="0" borderId="60" xfId="6" applyNumberFormat="1" applyFont="1" applyBorder="1" applyAlignment="1" applyProtection="1">
      <alignment horizontal="center" wrapText="1"/>
    </xf>
    <xf numFmtId="168" fontId="43" fillId="12" borderId="94" xfId="6" applyNumberFormat="1" applyFont="1" applyFill="1" applyBorder="1" applyProtection="1"/>
    <xf numFmtId="168" fontId="43" fillId="12" borderId="81" xfId="6" applyNumberFormat="1" applyFont="1" applyFill="1" applyBorder="1" applyProtection="1"/>
    <xf numFmtId="168" fontId="43" fillId="0" borderId="95" xfId="6" applyNumberFormat="1" applyFont="1" applyBorder="1" applyProtection="1"/>
    <xf numFmtId="168" fontId="43" fillId="0" borderId="83" xfId="6" applyNumberFormat="1" applyFont="1" applyBorder="1" applyProtection="1"/>
    <xf numFmtId="168" fontId="43" fillId="12" borderId="95" xfId="6" applyNumberFormat="1" applyFont="1" applyFill="1" applyBorder="1" applyProtection="1"/>
    <xf numFmtId="168" fontId="43" fillId="12" borderId="83" xfId="6" applyNumberFormat="1" applyFont="1" applyFill="1" applyBorder="1" applyProtection="1"/>
    <xf numFmtId="168" fontId="45" fillId="0" borderId="96" xfId="0" applyNumberFormat="1" applyFont="1" applyBorder="1" applyProtection="1"/>
    <xf numFmtId="168" fontId="45" fillId="0" borderId="97" xfId="0" applyNumberFormat="1" applyFont="1" applyBorder="1" applyProtection="1"/>
    <xf numFmtId="168" fontId="43" fillId="12" borderId="98" xfId="6" applyNumberFormat="1" applyFont="1" applyFill="1" applyBorder="1" applyProtection="1"/>
    <xf numFmtId="0" fontId="8" fillId="0" borderId="24" xfId="0" applyFont="1" applyBorder="1" applyAlignment="1" applyProtection="1">
      <alignment horizontal="center" wrapText="1"/>
    </xf>
    <xf numFmtId="171" fontId="43" fillId="12" borderId="67" xfId="6" applyNumberFormat="1" applyFont="1" applyFill="1" applyBorder="1" applyProtection="1"/>
    <xf numFmtId="168" fontId="0" fillId="0" borderId="99" xfId="6" applyNumberFormat="1" applyFont="1" applyBorder="1" applyProtection="1"/>
    <xf numFmtId="49" fontId="0" fillId="0" borderId="0" xfId="0" applyNumberFormat="1" applyFill="1" applyAlignment="1" applyProtection="1">
      <alignment horizontal="center"/>
      <protection locked="0"/>
    </xf>
    <xf numFmtId="169" fontId="0" fillId="0" borderId="0" xfId="0" applyNumberFormat="1" applyFill="1" applyAlignment="1" applyProtection="1">
      <alignment horizontal="center"/>
      <protection locked="0"/>
    </xf>
    <xf numFmtId="0" fontId="0" fillId="0" borderId="0" xfId="0"/>
    <xf numFmtId="0" fontId="36" fillId="0" borderId="55" xfId="18" applyFont="1" applyBorder="1" applyAlignment="1" applyProtection="1">
      <alignment horizontal="left"/>
    </xf>
    <xf numFmtId="0" fontId="36" fillId="0" borderId="40" xfId="18" applyFont="1" applyBorder="1" applyAlignment="1" applyProtection="1">
      <alignment horizontal="left"/>
    </xf>
    <xf numFmtId="0" fontId="36" fillId="0" borderId="0" xfId="18" applyFont="1" applyBorder="1" applyAlignment="1" applyProtection="1">
      <alignment horizontal="left"/>
    </xf>
    <xf numFmtId="43" fontId="46" fillId="0" borderId="0" xfId="5" applyNumberFormat="1" applyFont="1" applyBorder="1" applyProtection="1"/>
    <xf numFmtId="168" fontId="36" fillId="0" borderId="0" xfId="18" applyNumberFormat="1" applyFont="1" applyBorder="1" applyAlignment="1" applyProtection="1"/>
    <xf numFmtId="0" fontId="21" fillId="0" borderId="0" xfId="18" applyFont="1" applyBorder="1" applyAlignment="1" applyProtection="1">
      <alignment horizontal="center"/>
    </xf>
    <xf numFmtId="0" fontId="46" fillId="0" borderId="0" xfId="18" applyFont="1" applyFill="1" applyBorder="1" applyAlignment="1" applyProtection="1">
      <alignment horizontal="center"/>
    </xf>
    <xf numFmtId="168" fontId="47" fillId="0" borderId="0" xfId="5" applyNumberFormat="1" applyFont="1" applyBorder="1" applyAlignment="1" applyProtection="1"/>
    <xf numFmtId="168" fontId="47" fillId="0" borderId="23" xfId="5" applyNumberFormat="1" applyFont="1" applyBorder="1" applyProtection="1"/>
    <xf numFmtId="0" fontId="21" fillId="0" borderId="1" xfId="18" applyBorder="1" applyAlignment="1" applyProtection="1">
      <alignment horizontal="left"/>
    </xf>
    <xf numFmtId="0" fontId="21" fillId="0" borderId="43" xfId="18" applyBorder="1" applyAlignment="1" applyProtection="1">
      <alignment horizontal="left"/>
    </xf>
    <xf numFmtId="0" fontId="21" fillId="0" borderId="2" xfId="18" applyFill="1" applyBorder="1" applyAlignment="1" applyProtection="1">
      <alignment horizontal="left"/>
      <protection locked="0"/>
    </xf>
    <xf numFmtId="168" fontId="46" fillId="0" borderId="2" xfId="5" applyNumberFormat="1" applyFont="1" applyFill="1" applyBorder="1" applyProtection="1">
      <protection locked="0"/>
    </xf>
    <xf numFmtId="0" fontId="21" fillId="0" borderId="0" xfId="18" applyFill="1" applyProtection="1"/>
    <xf numFmtId="0" fontId="36" fillId="0" borderId="2" xfId="18" applyFont="1" applyFill="1" applyBorder="1" applyAlignment="1" applyProtection="1">
      <alignment horizontal="left"/>
      <protection locked="0"/>
    </xf>
    <xf numFmtId="0" fontId="36" fillId="0" borderId="22" xfId="18" applyFont="1" applyBorder="1" applyAlignment="1" applyProtection="1">
      <alignment horizontal="left"/>
    </xf>
    <xf numFmtId="0" fontId="38" fillId="7" borderId="13" xfId="18" applyFont="1" applyFill="1" applyBorder="1" applyAlignment="1" applyProtection="1">
      <alignment horizontal="center"/>
    </xf>
    <xf numFmtId="0" fontId="40" fillId="7" borderId="13" xfId="18" applyFont="1" applyFill="1" applyBorder="1" applyAlignment="1" applyProtection="1">
      <alignment horizontal="center"/>
    </xf>
    <xf numFmtId="0" fontId="40" fillId="7" borderId="100" xfId="18" applyFont="1" applyFill="1" applyBorder="1" applyAlignment="1" applyProtection="1">
      <alignment horizontal="center"/>
    </xf>
    <xf numFmtId="3" fontId="2" fillId="0" borderId="0" xfId="0" quotePrefix="1" applyNumberFormat="1" applyFont="1" applyAlignment="1">
      <alignment horizontal="right"/>
    </xf>
    <xf numFmtId="0" fontId="14" fillId="0" borderId="6" xfId="0" applyFont="1" applyBorder="1" applyAlignment="1" applyProtection="1">
      <alignment wrapText="1"/>
      <protection locked="0"/>
    </xf>
    <xf numFmtId="3" fontId="14" fillId="0" borderId="6" xfId="0" applyNumberFormat="1" applyFont="1" applyBorder="1" applyAlignment="1" applyProtection="1">
      <alignment horizontal="right" wrapText="1"/>
      <protection locked="0"/>
    </xf>
    <xf numFmtId="0" fontId="14" fillId="0" borderId="7" xfId="0" applyFont="1" applyBorder="1" applyAlignment="1" applyProtection="1">
      <alignment horizontal="center" wrapText="1"/>
      <protection locked="0"/>
    </xf>
    <xf numFmtId="0" fontId="14" fillId="0" borderId="6" xfId="0" applyFont="1" applyBorder="1" applyAlignment="1" applyProtection="1">
      <alignment horizontal="center" wrapText="1"/>
      <protection locked="0"/>
    </xf>
    <xf numFmtId="4" fontId="14" fillId="0" borderId="6" xfId="0" applyNumberFormat="1" applyFont="1" applyBorder="1" applyAlignment="1" applyProtection="1">
      <alignment horizontal="right" wrapText="1"/>
      <protection locked="0"/>
    </xf>
    <xf numFmtId="0" fontId="14" fillId="0" borderId="8" xfId="0" applyFont="1" applyBorder="1" applyAlignment="1" applyProtection="1">
      <alignment wrapText="1"/>
      <protection locked="0"/>
    </xf>
    <xf numFmtId="0" fontId="0" fillId="0" borderId="6" xfId="0" applyBorder="1" applyProtection="1">
      <protection locked="0"/>
    </xf>
    <xf numFmtId="0" fontId="0" fillId="0" borderId="6" xfId="0" applyBorder="1" applyAlignment="1" applyProtection="1">
      <alignment horizontal="center"/>
      <protection locked="0"/>
    </xf>
    <xf numFmtId="3" fontId="0" fillId="0" borderId="0" xfId="0" applyNumberFormat="1" applyAlignment="1" applyProtection="1">
      <alignment horizontal="right"/>
      <protection locked="0"/>
    </xf>
    <xf numFmtId="0" fontId="0" fillId="0" borderId="0" xfId="0"/>
    <xf numFmtId="0" fontId="50" fillId="2" borderId="5" xfId="0" applyFont="1" applyFill="1" applyBorder="1" applyAlignment="1">
      <alignment horizontal="right"/>
    </xf>
    <xf numFmtId="3" fontId="50" fillId="2" borderId="2" xfId="0" applyNumberFormat="1" applyFont="1" applyFill="1" applyBorder="1"/>
    <xf numFmtId="3" fontId="50" fillId="2" borderId="9" xfId="0" applyNumberFormat="1" applyFont="1" applyFill="1" applyBorder="1"/>
    <xf numFmtId="0" fontId="0" fillId="0" borderId="0" xfId="0" applyAlignment="1">
      <alignment horizontal="center" vertical="center"/>
    </xf>
    <xf numFmtId="0" fontId="0" fillId="0" borderId="0" xfId="0"/>
    <xf numFmtId="0" fontId="6" fillId="0" borderId="0" xfId="0" applyFont="1" applyAlignment="1">
      <alignment vertical="center" wrapText="1"/>
    </xf>
    <xf numFmtId="0" fontId="0" fillId="0" borderId="0" xfId="0" applyAlignment="1">
      <alignment vertical="center" wrapText="1"/>
    </xf>
    <xf numFmtId="165" fontId="1" fillId="0" borderId="0" xfId="0" applyNumberFormat="1" applyFont="1" applyAlignment="1">
      <alignment horizontal="right"/>
    </xf>
    <xf numFmtId="0" fontId="1" fillId="0" borderId="0" xfId="0" applyNumberFormat="1" applyFont="1" applyAlignment="1"/>
    <xf numFmtId="0" fontId="0" fillId="0" borderId="0" xfId="0" applyAlignment="1"/>
    <xf numFmtId="3" fontId="0" fillId="0" borderId="2" xfId="0" applyNumberFormat="1" applyBorder="1" applyAlignment="1">
      <alignment horizontal="left"/>
    </xf>
    <xf numFmtId="0" fontId="0" fillId="0" borderId="2" xfId="0" applyBorder="1" applyAlignment="1">
      <alignment horizontal="left"/>
    </xf>
    <xf numFmtId="0" fontId="8" fillId="0" borderId="0" xfId="0" quotePrefix="1" applyNumberFormat="1" applyFont="1" applyAlignment="1"/>
    <xf numFmtId="49" fontId="1" fillId="0" borderId="0" xfId="0" applyNumberFormat="1" applyFont="1" applyAlignment="1"/>
    <xf numFmtId="3" fontId="49" fillId="0" borderId="2" xfId="42" applyNumberFormat="1" applyBorder="1" applyAlignment="1">
      <alignment horizontal="left"/>
    </xf>
    <xf numFmtId="3" fontId="0" fillId="0" borderId="1" xfId="0" applyNumberFormat="1" applyBorder="1" applyAlignment="1">
      <alignment horizontal="left"/>
    </xf>
    <xf numFmtId="0" fontId="0" fillId="0" borderId="1" xfId="0" applyBorder="1" applyAlignment="1">
      <alignment horizontal="left"/>
    </xf>
    <xf numFmtId="49" fontId="0" fillId="0" borderId="4" xfId="0" applyNumberFormat="1" applyBorder="1" applyAlignment="1">
      <alignment horizontal="center"/>
    </xf>
    <xf numFmtId="0" fontId="0" fillId="0" borderId="4" xfId="0" applyBorder="1" applyAlignment="1">
      <alignment horizontal="center"/>
    </xf>
    <xf numFmtId="3" fontId="0" fillId="0" borderId="4" xfId="0" applyNumberFormat="1" applyBorder="1" applyAlignment="1">
      <alignment horizontal="center"/>
    </xf>
    <xf numFmtId="3" fontId="0" fillId="0" borderId="0" xfId="0" applyNumberFormat="1" applyAlignment="1" applyProtection="1">
      <alignment horizontal="left"/>
      <protection locked="0"/>
    </xf>
    <xf numFmtId="0" fontId="0" fillId="0" borderId="0" xfId="0" applyAlignment="1" applyProtection="1">
      <protection locked="0"/>
    </xf>
    <xf numFmtId="49" fontId="0" fillId="0" borderId="0" xfId="0" applyNumberFormat="1" applyAlignment="1">
      <alignment vertical="center" wrapText="1"/>
    </xf>
    <xf numFmtId="49" fontId="0" fillId="0" borderId="0" xfId="0" applyNumberFormat="1" applyAlignment="1">
      <alignment horizontal="right" vertical="center"/>
    </xf>
    <xf numFmtId="0" fontId="0" fillId="0" borderId="0" xfId="0" applyAlignment="1">
      <alignment horizontal="right" vertical="center"/>
    </xf>
    <xf numFmtId="49" fontId="0" fillId="0" borderId="0" xfId="0" applyNumberFormat="1" applyAlignment="1" applyProtection="1">
      <protection locked="0"/>
    </xf>
    <xf numFmtId="0" fontId="0" fillId="0" borderId="3" xfId="0" applyBorder="1" applyAlignment="1" applyProtection="1">
      <protection locked="0"/>
    </xf>
    <xf numFmtId="3"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0" fillId="0" borderId="3" xfId="0" applyBorder="1" applyAlignment="1" applyProtection="1">
      <alignment horizontal="center" vertical="center"/>
      <protection locked="0"/>
    </xf>
    <xf numFmtId="0" fontId="18" fillId="2" borderId="0" xfId="0" applyFont="1" applyFill="1" applyAlignment="1">
      <alignment horizontal="left" wrapText="1" shrinkToFit="1"/>
    </xf>
    <xf numFmtId="0" fontId="18" fillId="2" borderId="0" xfId="0" applyFont="1" applyFill="1" applyAlignment="1">
      <alignment horizontal="left"/>
    </xf>
    <xf numFmtId="0" fontId="9" fillId="0" borderId="0" xfId="0" applyFont="1" applyAlignment="1">
      <alignment horizontal="center" vertical="center"/>
    </xf>
    <xf numFmtId="0" fontId="17" fillId="0" borderId="0" xfId="0" applyFont="1" applyAlignment="1">
      <alignment horizontal="center" vertical="center"/>
    </xf>
    <xf numFmtId="0" fontId="21" fillId="8" borderId="5" xfId="18" applyFill="1" applyBorder="1" applyAlignment="1" applyProtection="1">
      <alignment horizontal="left"/>
      <protection locked="0"/>
    </xf>
    <xf numFmtId="0" fontId="21" fillId="0" borderId="5" xfId="18" applyBorder="1" applyAlignment="1" applyProtection="1">
      <alignment horizontal="left"/>
    </xf>
    <xf numFmtId="0" fontId="37" fillId="0" borderId="9" xfId="4" applyFont="1" applyFill="1" applyBorder="1" applyAlignment="1" applyProtection="1">
      <alignment horizontal="left" vertical="center" wrapText="1"/>
      <protection hidden="1"/>
    </xf>
    <xf numFmtId="0" fontId="37" fillId="0" borderId="5" xfId="4" applyFont="1" applyFill="1" applyBorder="1" applyAlignment="1" applyProtection="1">
      <alignment horizontal="left" vertical="center" wrapText="1"/>
      <protection hidden="1"/>
    </xf>
    <xf numFmtId="0" fontId="30" fillId="0" borderId="0" xfId="18" applyFont="1" applyAlignment="1" applyProtection="1">
      <alignment horizontal="center" vertical="center"/>
    </xf>
    <xf numFmtId="0" fontId="31" fillId="0" borderId="0" xfId="18" applyFont="1" applyAlignment="1" applyProtection="1">
      <alignment horizontal="left" vertical="center"/>
    </xf>
    <xf numFmtId="0" fontId="32" fillId="0" borderId="0" xfId="18" applyFont="1" applyBorder="1" applyAlignment="1" applyProtection="1">
      <alignment horizontal="left" vertical="center"/>
    </xf>
    <xf numFmtId="0" fontId="34" fillId="0" borderId="0" xfId="18" applyFont="1" applyAlignment="1" applyProtection="1">
      <alignment horizontal="right" vertical="center"/>
    </xf>
    <xf numFmtId="0" fontId="35" fillId="0" borderId="0" xfId="18" applyFont="1" applyAlignment="1" applyProtection="1">
      <alignment horizontal="right" vertical="center"/>
    </xf>
    <xf numFmtId="0" fontId="36" fillId="0" borderId="42" xfId="18" applyFont="1" applyBorder="1" applyAlignment="1" applyProtection="1">
      <alignment horizontal="left"/>
    </xf>
    <xf numFmtId="0" fontId="36" fillId="0" borderId="2" xfId="18" applyFont="1" applyBorder="1" applyAlignment="1" applyProtection="1">
      <alignment horizontal="left"/>
    </xf>
    <xf numFmtId="0" fontId="36" fillId="0" borderId="9" xfId="18" applyFont="1" applyBorder="1" applyAlignment="1" applyProtection="1">
      <alignment horizontal="left"/>
    </xf>
    <xf numFmtId="0" fontId="34" fillId="0" borderId="0" xfId="18" applyFont="1" applyFill="1" applyBorder="1" applyAlignment="1" applyProtection="1">
      <alignment horizontal="right"/>
    </xf>
    <xf numFmtId="0" fontId="36" fillId="0" borderId="0" xfId="18" applyFont="1" applyFill="1" applyBorder="1" applyAlignment="1" applyProtection="1">
      <protection hidden="1"/>
    </xf>
    <xf numFmtId="3" fontId="0" fillId="0" borderId="42" xfId="0" applyNumberFormat="1" applyBorder="1" applyAlignment="1">
      <alignment horizontal="center"/>
    </xf>
    <xf numFmtId="0" fontId="0" fillId="0" borderId="2" xfId="0" applyBorder="1" applyAlignment="1">
      <alignment horizontal="center"/>
    </xf>
    <xf numFmtId="0" fontId="0" fillId="0" borderId="9" xfId="0" applyBorder="1" applyAlignment="1">
      <alignment horizontal="center"/>
    </xf>
    <xf numFmtId="14" fontId="36" fillId="0" borderId="0" xfId="18" applyNumberFormat="1" applyFont="1" applyFill="1" applyBorder="1" applyAlignment="1" applyProtection="1">
      <alignment horizontal="left"/>
      <protection hidden="1"/>
    </xf>
    <xf numFmtId="0" fontId="21" fillId="0" borderId="0" xfId="18" applyFont="1" applyFill="1" applyBorder="1" applyProtection="1">
      <protection hidden="1"/>
    </xf>
    <xf numFmtId="0" fontId="36" fillId="0" borderId="5" xfId="18" applyFont="1" applyBorder="1" applyAlignment="1" applyProtection="1">
      <alignment horizontal="center"/>
    </xf>
    <xf numFmtId="0" fontId="36" fillId="0" borderId="9" xfId="4" applyFont="1" applyFill="1" applyBorder="1" applyAlignment="1" applyProtection="1">
      <alignment horizontal="center" wrapText="1"/>
      <protection hidden="1"/>
    </xf>
    <xf numFmtId="0" fontId="36" fillId="0" borderId="5" xfId="4" applyFont="1" applyFill="1" applyBorder="1" applyAlignment="1" applyProtection="1">
      <alignment horizontal="center" wrapText="1"/>
      <protection hidden="1"/>
    </xf>
    <xf numFmtId="0" fontId="37" fillId="0" borderId="41" xfId="3" applyFont="1" applyFill="1" applyBorder="1" applyAlignment="1" applyProtection="1">
      <alignment horizontal="left"/>
      <protection hidden="1"/>
    </xf>
    <xf numFmtId="0" fontId="37" fillId="0" borderId="10" xfId="3" applyFont="1" applyFill="1" applyBorder="1" applyAlignment="1" applyProtection="1">
      <alignment horizontal="left"/>
      <protection hidden="1"/>
    </xf>
    <xf numFmtId="0" fontId="34" fillId="0" borderId="39" xfId="18" applyFont="1" applyBorder="1" applyAlignment="1" applyProtection="1">
      <alignment horizontal="left" vertical="top" wrapText="1"/>
    </xf>
    <xf numFmtId="0" fontId="34" fillId="0" borderId="40" xfId="18" applyFont="1" applyBorder="1" applyAlignment="1" applyProtection="1">
      <alignment horizontal="left" vertical="top" wrapText="1"/>
    </xf>
    <xf numFmtId="0" fontId="34" fillId="0" borderId="41" xfId="18" applyFont="1" applyBorder="1" applyAlignment="1" applyProtection="1">
      <alignment horizontal="left" vertical="top" wrapText="1"/>
    </xf>
    <xf numFmtId="0" fontId="34" fillId="0" borderId="11" xfId="18" applyFont="1" applyBorder="1" applyAlignment="1" applyProtection="1">
      <alignment horizontal="left" vertical="top" wrapText="1"/>
    </xf>
    <xf numFmtId="0" fontId="34" fillId="0" borderId="1" xfId="18" applyFont="1" applyBorder="1" applyAlignment="1" applyProtection="1">
      <alignment horizontal="left" vertical="top" wrapText="1"/>
    </xf>
    <xf numFmtId="0" fontId="34" fillId="0" borderId="12" xfId="18" applyFont="1" applyBorder="1" applyAlignment="1" applyProtection="1">
      <alignment horizontal="left" vertical="top" wrapText="1"/>
    </xf>
    <xf numFmtId="0" fontId="34" fillId="0" borderId="42" xfId="18" applyFont="1" applyBorder="1" applyAlignment="1" applyProtection="1">
      <alignment horizontal="left"/>
    </xf>
    <xf numFmtId="0" fontId="34" fillId="0" borderId="2" xfId="18" applyFont="1" applyBorder="1" applyAlignment="1" applyProtection="1">
      <alignment horizontal="left"/>
    </xf>
    <xf numFmtId="0" fontId="34" fillId="0" borderId="9" xfId="18" applyFont="1" applyBorder="1" applyAlignment="1" applyProtection="1">
      <alignment horizontal="left"/>
    </xf>
    <xf numFmtId="0" fontId="36" fillId="0" borderId="2" xfId="18" applyFont="1" applyBorder="1" applyAlignment="1" applyProtection="1">
      <alignment horizontal="right"/>
    </xf>
    <xf numFmtId="0" fontId="36" fillId="0" borderId="9" xfId="18" applyFont="1" applyBorder="1" applyAlignment="1" applyProtection="1">
      <alignment horizontal="right"/>
    </xf>
    <xf numFmtId="0" fontId="21" fillId="15" borderId="5" xfId="18" applyFill="1" applyBorder="1" applyAlignment="1" applyProtection="1">
      <alignment horizontal="left"/>
      <protection locked="0"/>
    </xf>
    <xf numFmtId="0" fontId="21" fillId="8" borderId="42" xfId="18" applyFill="1" applyBorder="1" applyAlignment="1" applyProtection="1">
      <alignment horizontal="left"/>
      <protection locked="0"/>
    </xf>
    <xf numFmtId="0" fontId="21" fillId="8" borderId="2" xfId="18" applyFill="1" applyBorder="1" applyAlignment="1" applyProtection="1">
      <alignment horizontal="left"/>
      <protection locked="0"/>
    </xf>
    <xf numFmtId="0" fontId="21" fillId="8" borderId="9" xfId="18" applyFill="1" applyBorder="1" applyAlignment="1" applyProtection="1">
      <alignment horizontal="left"/>
      <protection locked="0"/>
    </xf>
    <xf numFmtId="0" fontId="36" fillId="0" borderId="2" xfId="18" applyFont="1" applyBorder="1" applyAlignment="1" applyProtection="1">
      <alignment horizontal="center"/>
    </xf>
    <xf numFmtId="0" fontId="21" fillId="15" borderId="5" xfId="18" applyFill="1" applyBorder="1" applyAlignment="1" applyProtection="1">
      <alignment horizontal="left"/>
    </xf>
    <xf numFmtId="0" fontId="21" fillId="15" borderId="5" xfId="18" applyFont="1" applyFill="1" applyBorder="1" applyAlignment="1" applyProtection="1">
      <alignment horizontal="left"/>
      <protection locked="0"/>
    </xf>
    <xf numFmtId="0" fontId="48" fillId="15" borderId="5" xfId="40" applyFill="1" applyBorder="1" applyAlignment="1" applyProtection="1">
      <alignment horizontal="left"/>
      <protection locked="0"/>
    </xf>
    <xf numFmtId="0" fontId="38" fillId="7" borderId="42" xfId="18" applyFont="1" applyFill="1" applyBorder="1" applyAlignment="1" applyProtection="1">
      <alignment horizontal="center"/>
    </xf>
    <xf numFmtId="0" fontId="38" fillId="7" borderId="2" xfId="18" applyFont="1" applyFill="1" applyBorder="1" applyAlignment="1" applyProtection="1">
      <alignment horizontal="center"/>
    </xf>
    <xf numFmtId="0" fontId="38" fillId="7" borderId="48" xfId="18" applyFont="1" applyFill="1" applyBorder="1" applyAlignment="1" applyProtection="1">
      <alignment horizontal="center"/>
    </xf>
    <xf numFmtId="0" fontId="36" fillId="0" borderId="5" xfId="18" applyFont="1" applyFill="1" applyBorder="1" applyAlignment="1" applyProtection="1">
      <alignment horizontal="right"/>
    </xf>
    <xf numFmtId="0" fontId="33" fillId="0" borderId="19" xfId="18" applyFont="1" applyBorder="1" applyAlignment="1" applyProtection="1">
      <alignment horizontal="center"/>
    </xf>
    <xf numFmtId="0" fontId="33" fillId="0" borderId="20" xfId="18" applyFont="1" applyBorder="1" applyAlignment="1" applyProtection="1">
      <alignment horizontal="center"/>
    </xf>
    <xf numFmtId="0" fontId="33" fillId="0" borderId="21" xfId="18" applyFont="1" applyBorder="1" applyAlignment="1" applyProtection="1">
      <alignment horizontal="center"/>
    </xf>
    <xf numFmtId="0" fontId="36" fillId="0" borderId="43" xfId="18" applyFont="1" applyBorder="1" applyAlignment="1" applyProtection="1">
      <alignment horizontal="center"/>
    </xf>
    <xf numFmtId="0" fontId="36" fillId="0" borderId="1" xfId="18" applyFont="1" applyBorder="1" applyAlignment="1" applyProtection="1">
      <alignment horizontal="center"/>
    </xf>
    <xf numFmtId="0" fontId="38" fillId="7" borderId="44" xfId="18" applyFont="1" applyFill="1" applyBorder="1" applyAlignment="1" applyProtection="1">
      <alignment horizontal="center"/>
    </xf>
    <xf numFmtId="0" fontId="38" fillId="7" borderId="4" xfId="18" applyFont="1" applyFill="1" applyBorder="1" applyAlignment="1" applyProtection="1">
      <alignment horizontal="center"/>
    </xf>
    <xf numFmtId="0" fontId="38" fillId="7" borderId="45" xfId="18" applyFont="1" applyFill="1" applyBorder="1" applyAlignment="1" applyProtection="1">
      <alignment horizontal="center"/>
    </xf>
    <xf numFmtId="0" fontId="21" fillId="0" borderId="46" xfId="18" applyFont="1" applyBorder="1" applyAlignment="1" applyProtection="1">
      <alignment horizontal="center" wrapText="1"/>
    </xf>
    <xf numFmtId="0" fontId="21" fillId="0" borderId="2" xfId="18" applyFont="1" applyBorder="1" applyAlignment="1" applyProtection="1">
      <alignment horizontal="center" wrapText="1"/>
    </xf>
    <xf numFmtId="0" fontId="21" fillId="0" borderId="9" xfId="18" applyFont="1" applyBorder="1" applyAlignment="1" applyProtection="1">
      <alignment horizontal="center" wrapText="1"/>
    </xf>
    <xf numFmtId="0" fontId="21" fillId="0" borderId="25" xfId="18" applyFont="1" applyBorder="1" applyAlignment="1" applyProtection="1">
      <alignment horizontal="left"/>
    </xf>
    <xf numFmtId="0" fontId="21" fillId="0" borderId="55" xfId="18" applyBorder="1" applyAlignment="1" applyProtection="1">
      <alignment horizontal="left"/>
    </xf>
    <xf numFmtId="0" fontId="21" fillId="0" borderId="40" xfId="18" applyBorder="1" applyAlignment="1" applyProtection="1">
      <alignment horizontal="left"/>
    </xf>
    <xf numFmtId="0" fontId="21" fillId="0" borderId="5" xfId="18" applyFont="1" applyBorder="1" applyAlignment="1" applyProtection="1">
      <alignment horizontal="left"/>
    </xf>
    <xf numFmtId="0" fontId="36" fillId="0" borderId="49" xfId="18" applyFont="1" applyBorder="1" applyAlignment="1" applyProtection="1">
      <alignment horizontal="left"/>
    </xf>
    <xf numFmtId="0" fontId="36" fillId="0" borderId="50" xfId="18" applyFont="1" applyBorder="1" applyAlignment="1" applyProtection="1">
      <alignment horizontal="left"/>
    </xf>
    <xf numFmtId="0" fontId="21" fillId="0" borderId="49" xfId="18" applyFont="1" applyBorder="1" applyAlignment="1" applyProtection="1">
      <alignment horizontal="left"/>
    </xf>
    <xf numFmtId="0" fontId="21" fillId="0" borderId="50" xfId="18" applyBorder="1" applyAlignment="1" applyProtection="1">
      <alignment horizontal="left"/>
    </xf>
    <xf numFmtId="0" fontId="36" fillId="0" borderId="0" xfId="18" applyFont="1" applyBorder="1" applyAlignment="1" applyProtection="1">
      <alignment horizontal="center"/>
    </xf>
    <xf numFmtId="0" fontId="33" fillId="0" borderId="52" xfId="18" applyFont="1" applyBorder="1" applyAlignment="1" applyProtection="1">
      <alignment horizontal="center"/>
    </xf>
    <xf numFmtId="0" fontId="33" fillId="0" borderId="53" xfId="18" applyFont="1" applyBorder="1" applyAlignment="1" applyProtection="1">
      <alignment horizontal="center"/>
    </xf>
    <xf numFmtId="0" fontId="33" fillId="0" borderId="54" xfId="18" applyFont="1" applyBorder="1" applyAlignment="1" applyProtection="1">
      <alignment horizontal="center"/>
    </xf>
    <xf numFmtId="0" fontId="36" fillId="0" borderId="46" xfId="18" applyFont="1" applyBorder="1" applyAlignment="1" applyProtection="1">
      <alignment horizontal="left"/>
    </xf>
    <xf numFmtId="0" fontId="36" fillId="0" borderId="25" xfId="18" applyFont="1" applyBorder="1" applyAlignment="1" applyProtection="1">
      <alignment horizontal="left"/>
    </xf>
    <xf numFmtId="0" fontId="36" fillId="0" borderId="5" xfId="18" applyFont="1" applyBorder="1" applyAlignment="1" applyProtection="1">
      <alignment horizontal="left"/>
    </xf>
    <xf numFmtId="0" fontId="21" fillId="0" borderId="2" xfId="18" applyFont="1" applyFill="1" applyBorder="1" applyAlignment="1" applyProtection="1">
      <alignment horizontal="right" vertical="top"/>
    </xf>
    <xf numFmtId="0" fontId="21" fillId="0" borderId="48" xfId="18" applyFont="1" applyFill="1" applyBorder="1" applyAlignment="1" applyProtection="1">
      <alignment horizontal="right" vertical="top"/>
    </xf>
    <xf numFmtId="0" fontId="36" fillId="0" borderId="25" xfId="18" applyFont="1" applyFill="1" applyBorder="1" applyAlignment="1" applyProtection="1">
      <alignment horizontal="left"/>
    </xf>
    <xf numFmtId="0" fontId="36" fillId="0" borderId="5" xfId="18" applyFont="1" applyFill="1" applyBorder="1" applyAlignment="1" applyProtection="1">
      <alignment horizontal="left"/>
    </xf>
    <xf numFmtId="0" fontId="36" fillId="0" borderId="46" xfId="18" applyFont="1" applyFill="1" applyBorder="1" applyAlignment="1" applyProtection="1">
      <alignment horizontal="left"/>
    </xf>
    <xf numFmtId="0" fontId="36" fillId="0" borderId="2" xfId="18" applyFont="1" applyFill="1" applyBorder="1" applyAlignment="1" applyProtection="1">
      <alignment horizontal="left"/>
    </xf>
    <xf numFmtId="0" fontId="36" fillId="0" borderId="9" xfId="18" applyFont="1" applyFill="1" applyBorder="1" applyAlignment="1" applyProtection="1">
      <alignment horizontal="left"/>
    </xf>
    <xf numFmtId="168" fontId="8" fillId="0" borderId="67" xfId="6" applyNumberFormat="1" applyFont="1" applyBorder="1" applyAlignment="1" applyProtection="1">
      <alignment horizontal="center" vertical="center" wrapText="1"/>
    </xf>
    <xf numFmtId="168" fontId="8" fillId="0" borderId="68" xfId="6" applyNumberFormat="1" applyFont="1" applyBorder="1" applyAlignment="1" applyProtection="1">
      <alignment horizontal="center" vertical="center" wrapText="1"/>
    </xf>
    <xf numFmtId="168" fontId="8" fillId="0" borderId="69" xfId="6" applyNumberFormat="1" applyFont="1" applyBorder="1" applyAlignment="1" applyProtection="1">
      <alignment horizontal="center" vertical="center" wrapText="1"/>
    </xf>
    <xf numFmtId="0" fontId="8" fillId="0" borderId="67" xfId="0" applyFont="1" applyBorder="1" applyAlignment="1" applyProtection="1">
      <alignment horizontal="center" vertical="center" wrapText="1"/>
    </xf>
    <xf numFmtId="0" fontId="8" fillId="0" borderId="68" xfId="0" applyFont="1" applyBorder="1" applyAlignment="1" applyProtection="1">
      <alignment horizontal="center" vertical="center" wrapText="1"/>
    </xf>
    <xf numFmtId="0" fontId="8" fillId="0" borderId="69" xfId="0" applyFont="1" applyBorder="1" applyAlignment="1" applyProtection="1">
      <alignment horizontal="center" vertical="center" wrapText="1"/>
    </xf>
    <xf numFmtId="0" fontId="8" fillId="9" borderId="86" xfId="0" applyFont="1" applyFill="1" applyBorder="1" applyAlignment="1" applyProtection="1">
      <alignment horizontal="center"/>
    </xf>
    <xf numFmtId="0" fontId="8" fillId="9" borderId="62" xfId="0" applyFont="1" applyFill="1" applyBorder="1" applyAlignment="1" applyProtection="1">
      <alignment horizontal="center"/>
    </xf>
    <xf numFmtId="43" fontId="8" fillId="0" borderId="67" xfId="6" applyNumberFormat="1" applyFont="1" applyBorder="1" applyAlignment="1" applyProtection="1">
      <alignment horizontal="center" vertical="center" wrapText="1"/>
    </xf>
    <xf numFmtId="43" fontId="8" fillId="0" borderId="68" xfId="6" applyNumberFormat="1" applyFont="1" applyBorder="1" applyAlignment="1" applyProtection="1">
      <alignment horizontal="center" vertical="center" wrapText="1"/>
    </xf>
    <xf numFmtId="43" fontId="8" fillId="0" borderId="69" xfId="6" applyNumberFormat="1" applyFont="1" applyBorder="1" applyAlignment="1" applyProtection="1">
      <alignment horizontal="center" vertical="center" wrapText="1"/>
    </xf>
    <xf numFmtId="168" fontId="8" fillId="0" borderId="65" xfId="6" applyNumberFormat="1" applyFont="1" applyBorder="1" applyAlignment="1" applyProtection="1">
      <alignment horizontal="center" vertical="center" wrapText="1"/>
    </xf>
    <xf numFmtId="168" fontId="8" fillId="0" borderId="66" xfId="6" applyNumberFormat="1" applyFont="1" applyBorder="1" applyAlignment="1" applyProtection="1">
      <alignment horizontal="center" vertical="center" wrapText="1"/>
    </xf>
    <xf numFmtId="168" fontId="8" fillId="0" borderId="60" xfId="6" applyNumberFormat="1" applyFont="1" applyBorder="1" applyAlignment="1" applyProtection="1">
      <alignment horizontal="center" vertical="center" wrapText="1"/>
    </xf>
    <xf numFmtId="0" fontId="8" fillId="9" borderId="64" xfId="0" applyFont="1" applyFill="1" applyBorder="1" applyAlignment="1" applyProtection="1">
      <alignment horizontal="center"/>
    </xf>
    <xf numFmtId="0" fontId="18" fillId="0" borderId="11" xfId="0" applyFont="1" applyBorder="1" applyAlignment="1" applyProtection="1">
      <alignment horizontal="right"/>
    </xf>
    <xf numFmtId="0" fontId="18" fillId="0" borderId="1" xfId="0" applyFont="1" applyBorder="1" applyAlignment="1" applyProtection="1">
      <alignment horizontal="right"/>
    </xf>
    <xf numFmtId="0" fontId="18" fillId="0" borderId="12" xfId="0" applyFont="1" applyBorder="1" applyAlignment="1" applyProtection="1">
      <alignment horizontal="right"/>
    </xf>
    <xf numFmtId="0" fontId="23" fillId="0" borderId="76" xfId="0" applyFont="1" applyBorder="1" applyAlignment="1" applyProtection="1">
      <alignment horizontal="center"/>
    </xf>
    <xf numFmtId="0" fontId="23" fillId="0" borderId="77" xfId="0" applyFont="1" applyBorder="1" applyAlignment="1" applyProtection="1">
      <alignment horizontal="center"/>
    </xf>
    <xf numFmtId="0" fontId="23" fillId="0" borderId="78" xfId="0" applyFont="1" applyBorder="1" applyAlignment="1" applyProtection="1">
      <alignment horizontal="center"/>
    </xf>
    <xf numFmtId="0" fontId="8" fillId="9" borderId="63" xfId="0" applyFont="1" applyFill="1" applyBorder="1" applyAlignment="1" applyProtection="1">
      <alignment horizontal="center"/>
    </xf>
    <xf numFmtId="168" fontId="1" fillId="0" borderId="42" xfId="6" applyNumberFormat="1" applyFont="1" applyBorder="1" applyAlignment="1" applyProtection="1">
      <alignment horizontal="center"/>
      <protection locked="0"/>
    </xf>
    <xf numFmtId="168" fontId="1" fillId="0" borderId="2" xfId="6" applyNumberFormat="1" applyFont="1" applyBorder="1" applyAlignment="1" applyProtection="1">
      <alignment horizontal="center"/>
      <protection locked="0"/>
    </xf>
    <xf numFmtId="168" fontId="1" fillId="0" borderId="9" xfId="6" applyNumberFormat="1" applyFont="1" applyBorder="1" applyAlignment="1" applyProtection="1">
      <alignment horizontal="center"/>
      <protection locked="0"/>
    </xf>
    <xf numFmtId="0" fontId="29" fillId="0" borderId="39" xfId="0" applyFont="1" applyBorder="1" applyAlignment="1">
      <alignment horizontal="center"/>
    </xf>
    <xf numFmtId="0" fontId="29" fillId="0" borderId="40" xfId="0" applyFont="1" applyBorder="1" applyAlignment="1">
      <alignment horizontal="center"/>
    </xf>
    <xf numFmtId="0" fontId="29" fillId="0" borderId="41" xfId="0" applyFont="1" applyBorder="1" applyAlignment="1">
      <alignment horizontal="center"/>
    </xf>
    <xf numFmtId="0" fontId="29" fillId="0" borderId="8" xfId="0" applyFont="1" applyBorder="1" applyAlignment="1">
      <alignment horizontal="center"/>
    </xf>
    <xf numFmtId="0" fontId="29" fillId="0" borderId="0" xfId="0" applyFont="1" applyBorder="1" applyAlignment="1">
      <alignment horizontal="center"/>
    </xf>
    <xf numFmtId="0" fontId="29" fillId="0" borderId="7" xfId="0" applyFont="1" applyBorder="1" applyAlignment="1">
      <alignment horizontal="center"/>
    </xf>
    <xf numFmtId="0" fontId="29" fillId="0" borderId="11" xfId="0" applyFont="1" applyBorder="1" applyAlignment="1">
      <alignment horizontal="center"/>
    </xf>
    <xf numFmtId="0" fontId="29" fillId="0" borderId="1" xfId="0" applyFont="1" applyBorder="1" applyAlignment="1">
      <alignment horizontal="center"/>
    </xf>
    <xf numFmtId="0" fontId="29" fillId="0" borderId="12" xfId="0" applyFont="1" applyBorder="1" applyAlignment="1">
      <alignment horizontal="center"/>
    </xf>
    <xf numFmtId="0" fontId="1" fillId="0" borderId="42" xfId="0" applyFont="1" applyBorder="1" applyAlignment="1">
      <alignment horizontal="center"/>
    </xf>
    <xf numFmtId="0" fontId="1" fillId="0" borderId="2" xfId="0" applyFont="1" applyBorder="1" applyAlignment="1">
      <alignment horizontal="center"/>
    </xf>
    <xf numFmtId="0" fontId="1" fillId="0" borderId="9" xfId="0" applyFont="1" applyBorder="1" applyAlignment="1">
      <alignment horizontal="center"/>
    </xf>
  </cellXfs>
  <cellStyles count="43">
    <cellStyle name="Comma" xfId="6" builtinId="3"/>
    <cellStyle name="Comma [0] 2" xfId="7" xr:uid="{00000000-0005-0000-0000-000001000000}"/>
    <cellStyle name="Comma 2" xfId="5" xr:uid="{00000000-0005-0000-0000-000002000000}"/>
    <cellStyle name="Comma 2 2" xfId="8" xr:uid="{00000000-0005-0000-0000-000003000000}"/>
    <cellStyle name="Comma 2 2 2" xfId="9" xr:uid="{00000000-0005-0000-0000-000004000000}"/>
    <cellStyle name="Comma 2 3" xfId="10" xr:uid="{00000000-0005-0000-0000-000005000000}"/>
    <cellStyle name="Comma 3" xfId="41" xr:uid="{00000000-0005-0000-0000-000006000000}"/>
    <cellStyle name="Currency 2" xfId="11" xr:uid="{00000000-0005-0000-0000-000007000000}"/>
    <cellStyle name="Hyperlink" xfId="42" builtinId="8"/>
    <cellStyle name="Hyperlink 2" xfId="12" xr:uid="{00000000-0005-0000-0000-000008000000}"/>
    <cellStyle name="Normal" xfId="0" builtinId="0"/>
    <cellStyle name="Normal 2" xfId="2" xr:uid="{00000000-0005-0000-0000-00000A000000}"/>
    <cellStyle name="Normal 2 2" xfId="1" xr:uid="{00000000-0005-0000-0000-00000B000000}"/>
    <cellStyle name="Normal 2 2 2" xfId="3" xr:uid="{00000000-0005-0000-0000-00000C000000}"/>
    <cellStyle name="Normal 2 3" xfId="13" xr:uid="{00000000-0005-0000-0000-00000D000000}"/>
    <cellStyle name="Normal 2 4" xfId="14" xr:uid="{00000000-0005-0000-0000-00000E000000}"/>
    <cellStyle name="Normal 2 5" xfId="15" xr:uid="{00000000-0005-0000-0000-00000F000000}"/>
    <cellStyle name="Normal 2 6" xfId="16" xr:uid="{00000000-0005-0000-0000-000010000000}"/>
    <cellStyle name="Normal 2 7" xfId="17" xr:uid="{00000000-0005-0000-0000-000011000000}"/>
    <cellStyle name="Normal 3" xfId="18" xr:uid="{00000000-0005-0000-0000-000012000000}"/>
    <cellStyle name="Normal 3 2" xfId="19" xr:uid="{00000000-0005-0000-0000-000013000000}"/>
    <cellStyle name="Normal 3 3" xfId="20" xr:uid="{00000000-0005-0000-0000-000014000000}"/>
    <cellStyle name="Normal 3 3 2" xfId="21" xr:uid="{00000000-0005-0000-0000-000015000000}"/>
    <cellStyle name="Normal 3 3 2 2" xfId="4" xr:uid="{00000000-0005-0000-0000-000016000000}"/>
    <cellStyle name="Normal 3 3 3" xfId="22" xr:uid="{00000000-0005-0000-0000-000017000000}"/>
    <cellStyle name="Normal 3 4" xfId="23" xr:uid="{00000000-0005-0000-0000-000018000000}"/>
    <cellStyle name="Normal 3 4 2" xfId="24" xr:uid="{00000000-0005-0000-0000-000019000000}"/>
    <cellStyle name="Normal 3 5" xfId="25" xr:uid="{00000000-0005-0000-0000-00001A000000}"/>
    <cellStyle name="Normal 4" xfId="26" xr:uid="{00000000-0005-0000-0000-00001B000000}"/>
    <cellStyle name="Normal 4 2" xfId="27" xr:uid="{00000000-0005-0000-0000-00001C000000}"/>
    <cellStyle name="Normal 4 3" xfId="28" xr:uid="{00000000-0005-0000-0000-00001D000000}"/>
    <cellStyle name="Normal 4 3 2" xfId="29" xr:uid="{00000000-0005-0000-0000-00001E000000}"/>
    <cellStyle name="Normal 4 4" xfId="30" xr:uid="{00000000-0005-0000-0000-00001F000000}"/>
    <cellStyle name="Normal 5" xfId="31" xr:uid="{00000000-0005-0000-0000-000020000000}"/>
    <cellStyle name="Normal 5 2" xfId="32" xr:uid="{00000000-0005-0000-0000-000021000000}"/>
    <cellStyle name="Normal 5 2 2" xfId="33" xr:uid="{00000000-0005-0000-0000-000022000000}"/>
    <cellStyle name="Normal 5 3" xfId="34" xr:uid="{00000000-0005-0000-0000-000023000000}"/>
    <cellStyle name="Normal 6" xfId="35" xr:uid="{00000000-0005-0000-0000-000024000000}"/>
    <cellStyle name="Normal 7" xfId="36" xr:uid="{00000000-0005-0000-0000-000025000000}"/>
    <cellStyle name="Normal 8" xfId="37" xr:uid="{00000000-0005-0000-0000-000026000000}"/>
    <cellStyle name="Normal 9" xfId="40" xr:uid="{00000000-0005-0000-0000-000027000000}"/>
    <cellStyle name="Percent" xfId="39" builtinId="5"/>
    <cellStyle name="Percent 2" xfId="38" xr:uid="{00000000-0005-0000-0000-000029000000}"/>
  </cellStyles>
  <dxfs count="41">
    <dxf>
      <numFmt numFmtId="30" formatCode="@"/>
    </dxf>
    <dxf>
      <numFmt numFmtId="30" formatCode="@"/>
    </dxf>
    <dxf>
      <numFmt numFmtId="164" formatCode="000"/>
      <alignment horizontal="center" vertical="bottom" textRotation="0" wrapText="0" indent="0" justifyLastLine="0" shrinkToFit="0" readingOrder="0"/>
    </dxf>
    <dxf>
      <font>
        <b/>
        <i val="0"/>
        <strike val="0"/>
        <condense val="0"/>
        <extend val="0"/>
        <outline val="0"/>
        <shadow val="0"/>
        <u/>
        <vertAlign val="baseline"/>
        <sz val="11"/>
        <color theme="1"/>
        <name val="Calibri"/>
        <scheme val="minor"/>
      </font>
    </dxf>
    <dxf>
      <numFmt numFmtId="4" formatCode="#,##0.00"/>
      <alignment horizontal="right" vertical="center" textRotation="0" wrapText="1" indent="0" justifyLastLine="0" shrinkToFit="0" readingOrder="0"/>
      <border diagonalUp="0" diagonalDown="0" outline="0">
        <left style="thin">
          <color auto="1"/>
        </left>
        <right style="thin">
          <color auto="1"/>
        </right>
        <top/>
        <bottom/>
      </border>
    </dxf>
    <dxf>
      <numFmt numFmtId="3" formatCode="#,##0"/>
      <alignment horizontal="right" vertical="bottom" textRotation="0" wrapText="1" indent="0" justifyLastLine="0" shrinkToFit="0" readingOrder="0"/>
      <border diagonalUp="0" diagonalDown="0">
        <left style="thin">
          <color auto="1"/>
        </left>
        <right style="thin">
          <color auto="1"/>
        </right>
        <top/>
        <bottom/>
      </border>
      <protection locked="0" hidden="0"/>
    </dxf>
    <dxf>
      <alignment horizontal="right" vertical="center" textRotation="0" wrapText="1" indent="0" justifyLastLine="0" shrinkToFit="0" readingOrder="0"/>
      <border diagonalUp="0" diagonalDown="0" outline="0">
        <left style="thin">
          <color auto="1"/>
        </left>
        <right style="thin">
          <color auto="1"/>
        </right>
        <top/>
        <bottom/>
      </border>
    </dxf>
    <dxf>
      <numFmt numFmtId="3" formatCode="#,##0"/>
      <alignment horizontal="right" vertical="bottom" textRotation="0" wrapText="1" indent="0" justifyLastLine="0" shrinkToFit="0" readingOrder="0"/>
      <border diagonalUp="0" diagonalDown="0">
        <left style="thin">
          <color auto="1"/>
        </left>
        <right style="thin">
          <color auto="1"/>
        </right>
        <top/>
        <bottom/>
      </border>
      <protection locked="0" hidden="0"/>
    </dxf>
    <dxf>
      <border diagonalUp="0" diagonalDown="0" outline="0">
        <left style="thin">
          <color auto="1"/>
        </left>
        <right style="thin">
          <color auto="1"/>
        </right>
        <top/>
        <bottom/>
      </border>
    </dxf>
    <dxf>
      <border diagonalUp="0" diagonalDown="0">
        <left style="thin">
          <color auto="1"/>
        </left>
        <right style="thin">
          <color auto="1"/>
        </right>
        <top/>
        <bottom/>
      </border>
      <protection locked="0" hidden="0"/>
    </dxf>
    <dxf>
      <border diagonalUp="0" diagonalDown="0" outline="0">
        <left style="thin">
          <color auto="1"/>
        </left>
        <right style="thin">
          <color auto="1"/>
        </right>
        <top/>
        <bottom/>
      </border>
    </dxf>
    <dxf>
      <border diagonalUp="0" diagonalDown="0">
        <left style="thin">
          <color auto="1"/>
        </left>
        <right style="thin">
          <color auto="1"/>
        </right>
        <top/>
        <bottom/>
        <vertical style="thin">
          <color auto="1"/>
        </vertical>
        <horizontal/>
      </border>
      <protection locked="0" hidden="0"/>
    </dxf>
    <dxf>
      <protection locked="0" hidden="0"/>
    </dxf>
    <dxf>
      <font>
        <b/>
        <i val="0"/>
        <strike val="0"/>
        <condense val="0"/>
        <extend val="0"/>
        <outline val="0"/>
        <shadow val="0"/>
        <u val="none"/>
        <vertAlign val="baseline"/>
        <sz val="12"/>
        <color theme="0"/>
        <name val="Times New Roman"/>
        <scheme val="none"/>
      </font>
      <numFmt numFmtId="1" formatCode="0"/>
      <fill>
        <patternFill patternType="solid">
          <fgColor indexed="64"/>
          <bgColor theme="8" tint="-0.24994659260841701"/>
        </patternFill>
      </fill>
      <alignment horizontal="center" vertical="bottom" textRotation="0" wrapText="1" indent="0" justifyLastLine="0" shrinkToFit="0" readingOrder="0"/>
    </dxf>
    <dxf>
      <border diagonalUp="0" diagonalDown="0">
        <left style="thin">
          <color auto="1"/>
        </left>
        <right/>
        <top/>
        <bottom/>
        <vertical style="thin">
          <color auto="1"/>
        </vertical>
        <horizontal/>
      </border>
    </dxf>
    <dxf>
      <border diagonalUp="0" diagonalDown="0" outline="0">
        <left style="thin">
          <color auto="1"/>
        </left>
        <right style="thin">
          <color auto="1"/>
        </right>
        <top/>
        <bottom/>
      </border>
    </dxf>
    <dxf>
      <numFmt numFmtId="4" formatCode="#,##0.00"/>
      <alignment horizontal="right" vertical="bottom" textRotation="0" wrapText="1" indent="0" justifyLastLine="0" shrinkToFit="0" readingOrder="0"/>
      <border diagonalUp="0" diagonalDown="0" outline="0">
        <left style="thin">
          <color auto="1"/>
        </left>
        <right style="thin">
          <color auto="1"/>
        </right>
        <top/>
        <bottom/>
      </border>
    </dxf>
    <dxf>
      <numFmt numFmtId="4" formatCode="#,##0.00"/>
      <alignment horizontal="right" vertical="bottom" textRotation="0" wrapText="1" indent="0" justifyLastLine="0" shrinkToFit="0" readingOrder="0"/>
      <border diagonalUp="0" diagonalDown="0" outline="0">
        <left style="thin">
          <color auto="1"/>
        </left>
        <right style="thin">
          <color auto="1"/>
        </right>
        <top/>
        <bottom/>
      </border>
    </dxf>
    <dxf>
      <numFmt numFmtId="3" formatCode="#,##0"/>
      <alignment horizontal="right" vertical="bottom" textRotation="0" wrapText="1" indent="0" justifyLastLine="0" shrinkToFit="0" readingOrder="0"/>
      <border diagonalUp="0" diagonalDown="0" outline="0">
        <left style="thin">
          <color auto="1"/>
        </left>
        <right style="thin">
          <color auto="1"/>
        </right>
        <top/>
        <bottom/>
      </border>
    </dxf>
    <dxf>
      <numFmt numFmtId="3" formatCode="#,##0"/>
      <alignment horizontal="right" vertical="bottom" textRotation="0" wrapText="1" indent="0" justifyLastLine="0" shrinkToFit="0" readingOrder="0"/>
      <border diagonalUp="0" diagonalDown="0" outline="0">
        <left style="thin">
          <color auto="1"/>
        </left>
        <right style="thin">
          <color auto="1"/>
        </right>
        <top/>
        <bottom/>
      </border>
    </dxf>
    <dxf>
      <border diagonalUp="0" diagonalDown="0" outline="0">
        <left style="thin">
          <color auto="1"/>
        </left>
        <right style="thin">
          <color auto="1"/>
        </right>
        <top/>
        <bottom/>
      </border>
    </dxf>
    <dxf>
      <border diagonalUp="0" diagonalDown="0">
        <left style="thin">
          <color auto="1"/>
        </left>
        <right style="thin">
          <color auto="1"/>
        </right>
        <top/>
        <bottom/>
        <vertical style="thin">
          <color auto="1"/>
        </vertical>
        <horizontal/>
      </border>
    </dxf>
    <dxf>
      <border diagonalUp="0" diagonalDown="0">
        <left style="thin">
          <color auto="1"/>
        </left>
        <right style="thin">
          <color auto="1"/>
        </right>
        <top/>
        <bottom/>
        <vertical style="thin">
          <color auto="1"/>
        </vertical>
        <horizontal/>
      </border>
    </dxf>
    <dxf>
      <border diagonalUp="0" diagonalDown="0">
        <left style="thin">
          <color auto="1"/>
        </left>
        <right style="thin">
          <color auto="1"/>
        </right>
        <top/>
        <bottom/>
        <vertical style="thin">
          <color auto="1"/>
        </vertical>
        <horizontal/>
      </border>
    </dxf>
    <dxf>
      <numFmt numFmtId="3" formatCode="#,##0"/>
      <border diagonalUp="0" diagonalDown="0">
        <left style="thin">
          <color auto="1"/>
        </left>
        <right style="thin">
          <color auto="1"/>
        </right>
        <top/>
        <bottom/>
        <vertical style="thin">
          <color auto="1"/>
        </vertical>
        <horizontal/>
      </border>
    </dxf>
    <dxf>
      <border diagonalUp="0" diagonalDown="0">
        <left/>
        <right style="thin">
          <color auto="1"/>
        </right>
        <top/>
        <bottom/>
        <vertical style="thin">
          <color auto="1"/>
        </vertical>
        <horizontal/>
      </border>
    </dxf>
    <dxf>
      <font>
        <b/>
        <i val="0"/>
        <strike val="0"/>
        <condense val="0"/>
        <extend val="0"/>
        <outline val="0"/>
        <shadow val="0"/>
        <u val="none"/>
        <vertAlign val="baseline"/>
        <sz val="12"/>
        <color theme="0"/>
        <name val="Times New Roman"/>
        <scheme val="none"/>
      </font>
      <numFmt numFmtId="1" formatCode="0"/>
      <fill>
        <patternFill patternType="solid">
          <fgColor indexed="64"/>
          <bgColor theme="8" tint="-0.24994659260841701"/>
        </patternFill>
      </fill>
      <alignment horizontal="center" vertical="center" textRotation="0" wrapText="1" indent="0" justifyLastLine="0" shrinkToFit="0" readingOrder="0"/>
    </dxf>
    <dxf>
      <border diagonalUp="0" diagonalDown="0">
        <left style="thin">
          <color auto="1"/>
        </left>
        <right/>
        <top/>
        <bottom/>
        <vertical style="thin">
          <color auto="1"/>
        </vertical>
        <horizontal/>
      </border>
    </dxf>
    <dxf>
      <border diagonalUp="0" diagonalDown="0" outline="0">
        <left style="thin">
          <color auto="1"/>
        </left>
        <right style="thin">
          <color auto="1"/>
        </right>
        <top/>
        <bottom/>
      </border>
    </dxf>
    <dxf>
      <numFmt numFmtId="3" formatCode="#,##0"/>
      <alignment horizontal="right" vertical="bottom" textRotation="0" wrapText="1" indent="0" justifyLastLine="0" shrinkToFit="0" readingOrder="0"/>
      <border diagonalUp="0" diagonalDown="0" outline="0">
        <left style="thin">
          <color auto="1"/>
        </left>
        <right style="thin">
          <color auto="1"/>
        </right>
        <top/>
        <bottom/>
      </border>
    </dxf>
    <dxf>
      <numFmt numFmtId="3" formatCode="#,##0"/>
      <alignment horizontal="right" vertical="bottom" textRotation="0" wrapText="1" indent="0" justifyLastLine="0" shrinkToFit="0" readingOrder="0"/>
      <border diagonalUp="0" diagonalDown="0" outline="0">
        <left style="thin">
          <color auto="1"/>
        </left>
        <right style="thin">
          <color auto="1"/>
        </right>
        <top/>
        <bottom/>
      </border>
    </dxf>
    <dxf>
      <numFmt numFmtId="3" formatCode="#,##0"/>
      <alignment horizontal="right" vertical="bottom" textRotation="0" wrapText="1" indent="0" justifyLastLine="0" shrinkToFit="0" readingOrder="0"/>
      <border diagonalUp="0" diagonalDown="0" outline="0">
        <left style="thin">
          <color auto="1"/>
        </left>
        <right style="thin">
          <color auto="1"/>
        </right>
        <top/>
        <bottom/>
      </border>
    </dxf>
    <dxf>
      <numFmt numFmtId="3" formatCode="#,##0"/>
      <alignment horizontal="right" vertical="bottom" textRotation="0" wrapText="1" indent="0" justifyLastLine="0" shrinkToFit="0" readingOrder="0"/>
      <border diagonalUp="0" diagonalDown="0" outline="0">
        <left style="thin">
          <color auto="1"/>
        </left>
        <right style="thin">
          <color auto="1"/>
        </right>
        <top/>
        <bottom/>
      </border>
    </dxf>
    <dxf>
      <border diagonalUp="0" diagonalDown="0" outline="0">
        <left style="thin">
          <color auto="1"/>
        </left>
        <right style="thin">
          <color auto="1"/>
        </right>
        <top/>
        <bottom/>
      </border>
    </dxf>
    <dxf>
      <border diagonalUp="0" diagonalDown="0">
        <left style="thin">
          <color auto="1"/>
        </left>
        <right style="thin">
          <color auto="1"/>
        </right>
        <top/>
        <bottom/>
        <vertical style="thin">
          <color auto="1"/>
        </vertical>
        <horizontal/>
      </border>
    </dxf>
    <dxf>
      <border diagonalUp="0" diagonalDown="0">
        <left style="thin">
          <color auto="1"/>
        </left>
        <right style="thin">
          <color auto="1"/>
        </right>
        <top/>
        <bottom/>
        <vertical style="thin">
          <color auto="1"/>
        </vertical>
        <horizontal/>
      </border>
    </dxf>
    <dxf>
      <border diagonalUp="0" diagonalDown="0">
        <left style="thin">
          <color auto="1"/>
        </left>
        <right style="thin">
          <color auto="1"/>
        </right>
        <top/>
        <bottom/>
        <vertical style="thin">
          <color auto="1"/>
        </vertical>
        <horizontal/>
      </border>
    </dxf>
    <dxf>
      <numFmt numFmtId="3" formatCode="#,##0"/>
      <border diagonalUp="0" diagonalDown="0">
        <left style="thin">
          <color auto="1"/>
        </left>
        <right style="thin">
          <color auto="1"/>
        </right>
        <top/>
        <bottom/>
        <vertical style="thin">
          <color auto="1"/>
        </vertical>
        <horizontal/>
      </border>
    </dxf>
    <dxf>
      <border diagonalUp="0" diagonalDown="0">
        <left/>
        <right style="thin">
          <color auto="1"/>
        </right>
        <top/>
        <bottom/>
        <vertical style="thin">
          <color auto="1"/>
        </vertical>
        <horizontal/>
      </border>
    </dxf>
    <dxf>
      <font>
        <b/>
        <i val="0"/>
        <strike val="0"/>
        <condense val="0"/>
        <extend val="0"/>
        <outline val="0"/>
        <shadow val="0"/>
        <u val="none"/>
        <vertAlign val="baseline"/>
        <sz val="12"/>
        <color theme="0"/>
        <name val="Times New Roman"/>
        <scheme val="none"/>
      </font>
      <numFmt numFmtId="1" formatCode="0"/>
      <fill>
        <patternFill patternType="solid">
          <fgColor indexed="64"/>
          <bgColor theme="8" tint="-0.24994659260841701"/>
        </patternFill>
      </fill>
      <alignment horizontal="center" vertical="bottom" textRotation="0" wrapText="1" indent="0" justifyLastLine="0" shrinkToFit="0" readingOrder="0"/>
    </dxf>
    <dxf>
      <fill>
        <patternFill>
          <bgColor rgb="FFFFFFCC"/>
        </patternFill>
      </fill>
    </dxf>
  </dxfs>
  <tableStyles count="1" defaultTableStyle="TableStyleMedium2" defaultPivotStyle="PivotStyleLight16">
    <tableStyle name="Table Style 1" pivot="0" count="0" xr9:uid="{00000000-0011-0000-FFFF-FFFF00000000}"/>
  </tableStyles>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0</xdr:colOff>
      <xdr:row>5</xdr:row>
      <xdr:rowOff>138112</xdr:rowOff>
    </xdr:to>
    <xdr:pic>
      <xdr:nvPicPr>
        <xdr:cNvPr id="2" name="Picture 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2880"/>
          <a:ext cx="1341120" cy="8696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139700</xdr:colOff>
      <xdr:row>1</xdr:row>
      <xdr:rowOff>0</xdr:rowOff>
    </xdr:from>
    <xdr:to>
      <xdr:col>1</xdr:col>
      <xdr:colOff>762000</xdr:colOff>
      <xdr:row>6</xdr:row>
      <xdr:rowOff>142875</xdr:rowOff>
    </xdr:to>
    <xdr:pic>
      <xdr:nvPicPr>
        <xdr:cNvPr id="2" name="Picture 1" descr="USDA1cM">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0" y="178594"/>
          <a:ext cx="1455738" cy="104536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ustinMessner/Documents/OMB%20Forms/handler_reporting_forms_distributing-plant-form_Market%20Report%20-%20Distributing%20Pla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ummary"/>
      <sheetName val="Receipts"/>
      <sheetName val="Utilization"/>
      <sheetName val="Total Area Sales"/>
      <sheetName val="Accountability for NFDM"/>
      <sheetName val="Cond. Skim Equiv Calculation"/>
      <sheetName val="FO Codes"/>
      <sheetName val="Qualifications"/>
      <sheetName val="Orders"/>
      <sheetName val="DropDownList"/>
      <sheetName val="Conversion Table"/>
    </sheetNames>
    <sheetDataSet>
      <sheetData sheetId="0"/>
      <sheetData sheetId="1"/>
      <sheetData sheetId="2"/>
      <sheetData sheetId="3"/>
      <sheetData sheetId="4"/>
      <sheetData sheetId="5"/>
      <sheetData sheetId="6"/>
      <sheetData sheetId="7"/>
      <sheetData sheetId="8"/>
      <sheetData sheetId="9">
        <row r="5">
          <cell r="A5">
            <v>0</v>
          </cell>
          <cell r="B5" t="str">
            <v>Non-Federal Order</v>
          </cell>
        </row>
        <row r="6">
          <cell r="A6">
            <v>1</v>
          </cell>
          <cell r="B6" t="str">
            <v>Northeast</v>
          </cell>
          <cell r="C6" t="str">
            <v>Northeast</v>
          </cell>
          <cell r="D6" t="str">
            <v>617-737-7199</v>
          </cell>
          <cell r="E6" t="str">
            <v>518-464-6468</v>
          </cell>
          <cell r="F6" t="str">
            <v>pool@fedmilk1.com</v>
          </cell>
          <cell r="G6" t="str">
            <v>P.O. Box 51478</v>
          </cell>
          <cell r="H6" t="str">
            <v>Boston, MA  02205-1478</v>
          </cell>
          <cell r="I6" t="str">
            <v>http://www.fmmone.com</v>
          </cell>
        </row>
        <row r="7">
          <cell r="A7">
            <v>5</v>
          </cell>
          <cell r="B7" t="str">
            <v>Appalachian</v>
          </cell>
          <cell r="C7" t="str">
            <v>Appalachian</v>
          </cell>
          <cell r="D7" t="str">
            <v>502-499-0040</v>
          </cell>
          <cell r="E7" t="str">
            <v>502-499-8749</v>
          </cell>
          <cell r="F7" t="str">
            <v>pool@malouisville.com</v>
          </cell>
          <cell r="G7" t="str">
            <v>P.O. Box 91528</v>
          </cell>
          <cell r="H7" t="str">
            <v>Louisville, KY  40291-0528</v>
          </cell>
          <cell r="I7" t="str">
            <v>http://www.malouisville.com</v>
          </cell>
        </row>
        <row r="8">
          <cell r="A8">
            <v>6</v>
          </cell>
          <cell r="B8" t="str">
            <v>Florida</v>
          </cell>
          <cell r="C8" t="str">
            <v>Southeast &amp; Florida</v>
          </cell>
          <cell r="D8" t="str">
            <v>770-682-2501</v>
          </cell>
          <cell r="E8" t="str">
            <v>770-545-8850</v>
          </cell>
          <cell r="F8" t="str">
            <v>pool@fmmatlanta.com</v>
          </cell>
          <cell r="G8" t="str">
            <v>2763 Meadow Church Road, Suite 100</v>
          </cell>
          <cell r="H8" t="str">
            <v>Duluth, GA  30097</v>
          </cell>
          <cell r="I8" t="str">
            <v>http://www.fmmatlanta.com</v>
          </cell>
        </row>
        <row r="9">
          <cell r="A9">
            <v>7</v>
          </cell>
          <cell r="B9" t="str">
            <v>Southeast</v>
          </cell>
          <cell r="C9" t="str">
            <v>Southeast &amp; Florida</v>
          </cell>
          <cell r="D9" t="str">
            <v>770-682-2501</v>
          </cell>
          <cell r="E9" t="str">
            <v>770-545-8850</v>
          </cell>
          <cell r="F9" t="str">
            <v>FL_Pool@fmmatlanta.com</v>
          </cell>
          <cell r="G9" t="str">
            <v>2763 Meadow Church Road, Suite 100</v>
          </cell>
          <cell r="H9" t="str">
            <v>Duluth, GA  30097</v>
          </cell>
          <cell r="I9" t="str">
            <v>http://www.fmmatlanta.com</v>
          </cell>
        </row>
        <row r="10">
          <cell r="A10">
            <v>30</v>
          </cell>
          <cell r="B10" t="str">
            <v>Upper Midwest</v>
          </cell>
          <cell r="C10" t="str">
            <v>Upper Midwest</v>
          </cell>
          <cell r="D10" t="str">
            <v>952-831-5292</v>
          </cell>
          <cell r="E10" t="str">
            <v>952-831-8249</v>
          </cell>
          <cell r="F10" t="str">
            <v>pool@fmma30.com</v>
          </cell>
          <cell r="G10" t="str">
            <v>1600 West 82nd Street - Suite 200</v>
          </cell>
          <cell r="H10" t="str">
            <v>Minneapolis, MN  55431-1420</v>
          </cell>
          <cell r="I10" t="str">
            <v>http://www.fmma30.com</v>
          </cell>
        </row>
        <row r="11">
          <cell r="A11">
            <v>32</v>
          </cell>
          <cell r="B11" t="str">
            <v>Central</v>
          </cell>
          <cell r="C11" t="str">
            <v>Central</v>
          </cell>
          <cell r="D11" t="str">
            <v>913-495-9300</v>
          </cell>
          <cell r="E11" t="str">
            <v>913-888-9207</v>
          </cell>
          <cell r="F11" t="str">
            <v>pool@fmmacentral.com</v>
          </cell>
          <cell r="G11" t="str">
            <v>P.O. Box 14650</v>
          </cell>
          <cell r="H11" t="str">
            <v>Shawnee Mission, KS  66285-4650</v>
          </cell>
          <cell r="I11" t="str">
            <v>http://www.fmmacentral.com</v>
          </cell>
        </row>
        <row r="12">
          <cell r="A12">
            <v>33</v>
          </cell>
          <cell r="B12" t="str">
            <v>Mideast</v>
          </cell>
          <cell r="C12" t="str">
            <v>Mideast</v>
          </cell>
          <cell r="D12" t="str">
            <v>330-225-4758</v>
          </cell>
          <cell r="E12" t="str">
            <v>330-220-6675</v>
          </cell>
          <cell r="F12" t="str">
            <v>pool@fmmaclev.com</v>
          </cell>
          <cell r="G12" t="str">
            <v>P.O. Box 5102</v>
          </cell>
          <cell r="H12" t="str">
            <v>Brunswick, OH  44212</v>
          </cell>
          <cell r="I12" t="str">
            <v>http://www.fmmaclev.com</v>
          </cell>
        </row>
        <row r="13">
          <cell r="A13">
            <v>51</v>
          </cell>
          <cell r="B13" t="str">
            <v>California</v>
          </cell>
          <cell r="C13" t="str">
            <v>California</v>
          </cell>
          <cell r="D13" t="str">
            <v>530-662-2037</v>
          </cell>
          <cell r="E13" t="str">
            <v>844-206-7024</v>
          </cell>
          <cell r="F13" t="str">
            <v>pool@cafmmo.com</v>
          </cell>
          <cell r="G13" t="str">
            <v>221 W. Court Street, Suite 3B</v>
          </cell>
          <cell r="H13" t="str">
            <v>Woodland, CA 95695-2983</v>
          </cell>
          <cell r="I13" t="str">
            <v>http://www.cafmmo.com</v>
          </cell>
        </row>
        <row r="14">
          <cell r="A14">
            <v>124</v>
          </cell>
          <cell r="B14" t="str">
            <v>Pacific Northwest</v>
          </cell>
          <cell r="C14" t="str">
            <v>Pacific Northwest &amp; Arizona</v>
          </cell>
          <cell r="D14" t="str">
            <v>425-487-6009</v>
          </cell>
          <cell r="E14" t="str">
            <v>425-487-2775</v>
          </cell>
          <cell r="F14" t="str">
            <v>fmmaseattle@fmmaseattle.com</v>
          </cell>
          <cell r="G14" t="str">
            <v>1930 - 220th Street, S.E., Suite 102</v>
          </cell>
          <cell r="H14" t="str">
            <v>Bothell, WA  98021-8471</v>
          </cell>
          <cell r="I14" t="str">
            <v>http://www.fmmaseattle.com</v>
          </cell>
        </row>
        <row r="15">
          <cell r="A15">
            <v>126</v>
          </cell>
          <cell r="B15" t="str">
            <v>Southwest</v>
          </cell>
          <cell r="C15" t="str">
            <v>Southwest</v>
          </cell>
          <cell r="D15" t="str">
            <v>972-245-6060</v>
          </cell>
          <cell r="E15" t="str">
            <v>972-245-3211</v>
          </cell>
          <cell r="F15" t="str">
            <v>sw.pool@dallasma.com</v>
          </cell>
          <cell r="G15" t="str">
            <v>P.O. Box 110939</v>
          </cell>
          <cell r="H15" t="str">
            <v>Carrollton, TX  75011-0939</v>
          </cell>
          <cell r="I15" t="str">
            <v>http://www.dallasma.com</v>
          </cell>
        </row>
        <row r="16">
          <cell r="A16">
            <v>131</v>
          </cell>
          <cell r="B16" t="str">
            <v>Arizona</v>
          </cell>
          <cell r="C16" t="str">
            <v>Pacific Northwest &amp; Arizona</v>
          </cell>
          <cell r="D16" t="str">
            <v>425-487-6009</v>
          </cell>
          <cell r="E16" t="str">
            <v>425-487-2775</v>
          </cell>
          <cell r="F16" t="str">
            <v>fmmaseattle@fmmaseattle.com</v>
          </cell>
          <cell r="G16" t="str">
            <v>1930 - 220th Street, S.E., Suite 102</v>
          </cell>
          <cell r="H16" t="str">
            <v>Bothell, WA  98021-8471</v>
          </cell>
          <cell r="I16" t="str">
            <v>http://www.fmmaseattle.com</v>
          </cell>
        </row>
      </sheetData>
      <sheetData sheetId="10"/>
      <sheetData sheetId="1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bl_Receipts" displayName="tbl_Receipts" ref="A6:L152" totalsRowShown="0" headerRowDxfId="39">
  <tableColumns count="12">
    <tableColumn id="1" xr3:uid="{00000000-0010-0000-0000-000001000000}" name="Report Category" dataDxfId="38"/>
    <tableColumn id="2" xr3:uid="{00000000-0010-0000-0000-000002000000}" name="From _x000a_Handler Name" dataDxfId="37"/>
    <tableColumn id="3" xr3:uid="{00000000-0010-0000-0000-000003000000}" name="From _x000a_Order No." dataDxfId="36"/>
    <tableColumn id="4" xr3:uid="{00000000-0010-0000-0000-000004000000}" name="Product _x000a_Type" dataDxfId="35"/>
    <tableColumn id="5" xr3:uid="{00000000-0010-0000-0000-000005000000}" name="Product _x000a_Code" dataDxfId="34"/>
    <tableColumn id="6" xr3:uid="{00000000-0010-0000-0000-000006000000}" name="Product Class" dataDxfId="33"/>
    <tableColumn id="7" xr3:uid="{00000000-0010-0000-0000-000007000000}" name="Product Pounds" dataDxfId="32"/>
    <tableColumn id="8" xr3:uid="{00000000-0010-0000-0000-000008000000}" name="Butterfat _x000a_Pounds" dataDxfId="31"/>
    <tableColumn id="9" xr3:uid="{00000000-0010-0000-0000-000009000000}" name="Protein _x000a_Pounds" dataDxfId="30"/>
    <tableColumn id="10" xr3:uid="{00000000-0010-0000-0000-00000A000000}" name="Other Solid _x000a_Pounds" dataDxfId="29"/>
    <tableColumn id="11" xr3:uid="{00000000-0010-0000-0000-00000B000000}" name="Broker Name" dataDxfId="28"/>
    <tableColumn id="12" xr3:uid="{00000000-0010-0000-0000-00000C000000}" name="Notes" dataDxfId="27"/>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bl_Utilization" displayName="tbl_Utilization" ref="A6:L159" totalsRowShown="0" headerRowDxfId="26">
  <tableColumns count="12">
    <tableColumn id="1" xr3:uid="{00000000-0010-0000-0100-000001000000}" name="Report Category" dataDxfId="25"/>
    <tableColumn id="2" xr3:uid="{00000000-0010-0000-0100-000002000000}" name="To_x000a_Handler Name" dataDxfId="24"/>
    <tableColumn id="3" xr3:uid="{00000000-0010-0000-0100-000003000000}" name="To_x000a_Order No." dataDxfId="23"/>
    <tableColumn id="4" xr3:uid="{00000000-0010-0000-0100-000004000000}" name="Product _x000a_Type" dataDxfId="22"/>
    <tableColumn id="5" xr3:uid="{00000000-0010-0000-0100-000005000000}" name="Product _x000a_Code" dataDxfId="21"/>
    <tableColumn id="6" xr3:uid="{00000000-0010-0000-0100-000006000000}" name="Product Class" dataDxfId="20"/>
    <tableColumn id="7" xr3:uid="{00000000-0010-0000-0100-000007000000}" name="Product Pounds" dataDxfId="19"/>
    <tableColumn id="8" xr3:uid="{00000000-0010-0000-0100-000008000000}" name="Butterfat _x000a_Pounds" dataDxfId="18"/>
    <tableColumn id="9" xr3:uid="{00000000-0010-0000-0100-000009000000}" name="Protein _x000a_Pounds" dataDxfId="17"/>
    <tableColumn id="10" xr3:uid="{00000000-0010-0000-0100-00000A000000}" name="Other Solid _x000a_Pounds" dataDxfId="16"/>
    <tableColumn id="11" xr3:uid="{00000000-0010-0000-0100-00000B000000}" name="Broker Name" dataDxfId="15"/>
    <tableColumn id="12" xr3:uid="{00000000-0010-0000-0100-00000C000000}" name="Notes" dataDxfId="14"/>
  </tableColumns>
  <tableStyleInfo name="TableStyleLight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bl_Area_Sales" displayName="tbl_Area_Sales" ref="A12:D156" headerRowDxfId="13" dataDxfId="12">
  <tableColumns count="4">
    <tableColumn id="3" xr3:uid="{00000000-0010-0000-0200-000003000000}" name="To_x000a_Order No." dataDxfId="11" totalsRowDxfId="10"/>
    <tableColumn id="5" xr3:uid="{00000000-0010-0000-0200-000005000000}" name="Product _x000a_Code" dataDxfId="9" totalsRowDxfId="8"/>
    <tableColumn id="7" xr3:uid="{00000000-0010-0000-0200-000007000000}" name="Product Pounds" dataDxfId="7" totalsRowDxfId="6"/>
    <tableColumn id="8" xr3:uid="{00000000-0010-0000-0200-000008000000}" name="Butterfat _x000a_Pounds" totalsRowFunction="sum" dataDxfId="5" totalsRowDxfId="4"/>
  </tableColumns>
  <tableStyleInfo name="TableStyleLight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bl_Orders" displayName="tbl_Orders" ref="A4:I16" totalsRowShown="0" headerRowDxfId="3">
  <autoFilter ref="A4:I16" xr:uid="{00000000-0009-0000-0100-000001000000}"/>
  <sortState xmlns:xlrd2="http://schemas.microsoft.com/office/spreadsheetml/2017/richdata2" ref="A5:I16">
    <sortCondition ref="A4:A16"/>
  </sortState>
  <tableColumns count="9">
    <tableColumn id="1" xr3:uid="{00000000-0010-0000-0300-000001000000}" name="Order" dataDxfId="2"/>
    <tableColumn id="2" xr3:uid="{00000000-0010-0000-0300-000002000000}" name="Milk Marketing Area" dataDxfId="1"/>
    <tableColumn id="3" xr3:uid="{00000000-0010-0000-0300-000003000000}" name="MA Office" dataDxfId="0"/>
    <tableColumn id="4" xr3:uid="{00000000-0010-0000-0300-000004000000}" name="Phone"/>
    <tableColumn id="5" xr3:uid="{00000000-0010-0000-0300-000005000000}" name="Fax"/>
    <tableColumn id="6" xr3:uid="{00000000-0010-0000-0300-000006000000}" name="Email"/>
    <tableColumn id="7" xr3:uid="{00000000-0010-0000-0300-000007000000}" name="Address1"/>
    <tableColumn id="8" xr3:uid="{00000000-0010-0000-0300-000008000000}" name="Address2"/>
    <tableColumn id="9" xr3:uid="{00000000-0010-0000-0300-000009000000}" name="HomePage"/>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cafmmo.com/" TargetMode="External"/><Relationship Id="rId2" Type="http://schemas.openxmlformats.org/officeDocument/2006/relationships/hyperlink" Target="mailto:pool@cafmmo.com" TargetMode="External"/><Relationship Id="rId1" Type="http://schemas.openxmlformats.org/officeDocument/2006/relationships/hyperlink" Target="http://www.malouisville.com/" TargetMode="External"/><Relationship Id="rId5" Type="http://schemas.openxmlformats.org/officeDocument/2006/relationships/table" Target="../tables/table4.xml"/><Relationship Id="rId4"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E12"/>
  <sheetViews>
    <sheetView showGridLines="0" topLeftCell="A9" zoomScaleNormal="100" workbookViewId="0">
      <selection activeCell="A12" sqref="A12:C12"/>
    </sheetView>
  </sheetViews>
  <sheetFormatPr defaultRowHeight="14.4" x14ac:dyDescent="0.3"/>
  <cols>
    <col min="1" max="1" width="19.5546875" customWidth="1"/>
    <col min="2" max="3" width="35.5546875" customWidth="1"/>
  </cols>
  <sheetData>
    <row r="1" spans="1:5" x14ac:dyDescent="0.3">
      <c r="A1" s="1"/>
    </row>
    <row r="2" spans="1:5" x14ac:dyDescent="0.3">
      <c r="B2" s="333"/>
      <c r="C2" s="333"/>
      <c r="D2" s="2" t="s">
        <v>0</v>
      </c>
      <c r="E2" s="3"/>
    </row>
    <row r="3" spans="1:5" x14ac:dyDescent="0.3">
      <c r="B3" s="4" t="s">
        <v>1</v>
      </c>
      <c r="C3" s="4"/>
    </row>
    <row r="4" spans="1:5" x14ac:dyDescent="0.3">
      <c r="B4" s="334" t="s">
        <v>2</v>
      </c>
      <c r="C4" s="334"/>
    </row>
    <row r="5" spans="1:5" x14ac:dyDescent="0.3">
      <c r="B5" t="s">
        <v>692</v>
      </c>
      <c r="C5" t="s">
        <v>3</v>
      </c>
    </row>
    <row r="6" spans="1:5" x14ac:dyDescent="0.3">
      <c r="B6" t="s">
        <v>4</v>
      </c>
      <c r="C6" t="s">
        <v>690</v>
      </c>
    </row>
    <row r="7" spans="1:5" x14ac:dyDescent="0.3">
      <c r="A7" t="s">
        <v>5</v>
      </c>
      <c r="B7" t="s">
        <v>6</v>
      </c>
      <c r="C7" t="s">
        <v>7</v>
      </c>
    </row>
    <row r="9" spans="1:5" ht="9.75" customHeight="1" x14ac:dyDescent="0.3"/>
    <row r="10" spans="1:5" ht="94.95" customHeight="1" x14ac:dyDescent="0.3">
      <c r="A10" s="335" t="s">
        <v>8</v>
      </c>
      <c r="B10" s="335"/>
      <c r="C10" s="335"/>
    </row>
    <row r="11" spans="1:5" ht="7.5" customHeight="1" x14ac:dyDescent="0.3">
      <c r="A11" s="335"/>
      <c r="B11" s="336"/>
      <c r="C11" s="336"/>
    </row>
    <row r="12" spans="1:5" ht="328.5" customHeight="1" x14ac:dyDescent="0.3">
      <c r="A12" s="335" t="s">
        <v>691</v>
      </c>
      <c r="B12" s="335"/>
      <c r="C12" s="335"/>
    </row>
  </sheetData>
  <mergeCells count="5">
    <mergeCell ref="B2:C2"/>
    <mergeCell ref="B4:C4"/>
    <mergeCell ref="A10:C10"/>
    <mergeCell ref="A11:C11"/>
    <mergeCell ref="A12:C12"/>
  </mergeCell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sheetPr>
  <dimension ref="A1:I16"/>
  <sheetViews>
    <sheetView workbookViewId="0">
      <pane xSplit="2" ySplit="4" topLeftCell="C5" activePane="bottomRight" state="frozen"/>
      <selection pane="topRight" activeCell="C1" sqref="C1"/>
      <selection pane="bottomLeft" activeCell="A3" sqref="A3"/>
      <selection pane="bottomRight" activeCell="D19" sqref="D19"/>
    </sheetView>
  </sheetViews>
  <sheetFormatPr defaultRowHeight="14.4" x14ac:dyDescent="0.3"/>
  <cols>
    <col min="1" max="1" width="9.88671875" style="13" customWidth="1"/>
    <col min="2" max="2" width="18.6640625" style="6" customWidth="1"/>
    <col min="3" max="3" width="24.109375" style="6" bestFit="1" customWidth="1"/>
    <col min="4" max="5" width="12.109375" bestFit="1" customWidth="1"/>
    <col min="6" max="6" width="28" bestFit="1" customWidth="1"/>
    <col min="7" max="7" width="32.5546875" customWidth="1"/>
    <col min="8" max="8" width="29" bestFit="1" customWidth="1"/>
    <col min="9" max="9" width="30.6640625" customWidth="1"/>
  </cols>
  <sheetData>
    <row r="1" spans="1:9" x14ac:dyDescent="0.3">
      <c r="A1" s="1"/>
    </row>
    <row r="2" spans="1:9" ht="17.399999999999999" x14ac:dyDescent="0.35">
      <c r="A2" s="7" t="s">
        <v>9</v>
      </c>
    </row>
    <row r="3" spans="1:9" x14ac:dyDescent="0.3">
      <c r="A3" s="1"/>
    </row>
    <row r="4" spans="1:9" s="3" customFormat="1" x14ac:dyDescent="0.3">
      <c r="A4" s="8" t="s">
        <v>10</v>
      </c>
      <c r="B4" s="9" t="s">
        <v>11</v>
      </c>
      <c r="C4" s="9" t="s">
        <v>12</v>
      </c>
      <c r="D4" s="3" t="s">
        <v>13</v>
      </c>
      <c r="E4" s="3" t="s">
        <v>14</v>
      </c>
      <c r="F4" s="3" t="s">
        <v>15</v>
      </c>
      <c r="G4" s="3" t="s">
        <v>16</v>
      </c>
      <c r="H4" s="3" t="s">
        <v>17</v>
      </c>
      <c r="I4" s="3" t="s">
        <v>18</v>
      </c>
    </row>
    <row r="5" spans="1:9" x14ac:dyDescent="0.3">
      <c r="A5" s="10">
        <v>0</v>
      </c>
      <c r="B5" s="6" t="s">
        <v>19</v>
      </c>
    </row>
    <row r="6" spans="1:9" x14ac:dyDescent="0.3">
      <c r="A6" s="10">
        <v>1</v>
      </c>
      <c r="B6" s="6" t="s">
        <v>20</v>
      </c>
      <c r="C6" s="6" t="s">
        <v>20</v>
      </c>
      <c r="D6" t="s">
        <v>21</v>
      </c>
      <c r="E6" t="s">
        <v>22</v>
      </c>
      <c r="F6" t="s">
        <v>23</v>
      </c>
      <c r="G6" t="s">
        <v>24</v>
      </c>
      <c r="H6" t="s">
        <v>25</v>
      </c>
      <c r="I6" t="s">
        <v>26</v>
      </c>
    </row>
    <row r="7" spans="1:9" x14ac:dyDescent="0.3">
      <c r="A7" s="10">
        <v>5</v>
      </c>
      <c r="B7" s="6" t="s">
        <v>27</v>
      </c>
      <c r="C7" s="6" t="s">
        <v>27</v>
      </c>
      <c r="D7" t="s">
        <v>28</v>
      </c>
      <c r="E7" t="s">
        <v>29</v>
      </c>
      <c r="F7" t="s">
        <v>30</v>
      </c>
      <c r="G7" t="s">
        <v>31</v>
      </c>
      <c r="H7" t="s">
        <v>32</v>
      </c>
      <c r="I7" t="s">
        <v>33</v>
      </c>
    </row>
    <row r="8" spans="1:9" x14ac:dyDescent="0.3">
      <c r="A8" s="10">
        <v>6</v>
      </c>
      <c r="B8" s="6" t="s">
        <v>34</v>
      </c>
      <c r="C8" s="6" t="s">
        <v>35</v>
      </c>
      <c r="D8" t="s">
        <v>36</v>
      </c>
      <c r="E8" t="s">
        <v>37</v>
      </c>
      <c r="F8" s="11" t="s">
        <v>38</v>
      </c>
      <c r="G8" t="s">
        <v>39</v>
      </c>
      <c r="H8" s="12" t="s">
        <v>40</v>
      </c>
      <c r="I8" t="s">
        <v>41</v>
      </c>
    </row>
    <row r="9" spans="1:9" x14ac:dyDescent="0.3">
      <c r="A9" s="10">
        <v>7</v>
      </c>
      <c r="B9" s="6" t="s">
        <v>42</v>
      </c>
      <c r="C9" s="6" t="s">
        <v>35</v>
      </c>
      <c r="D9" t="s">
        <v>36</v>
      </c>
      <c r="E9" t="s">
        <v>37</v>
      </c>
      <c r="F9" s="11" t="s">
        <v>43</v>
      </c>
      <c r="G9" t="s">
        <v>39</v>
      </c>
      <c r="H9" s="12" t="s">
        <v>40</v>
      </c>
      <c r="I9" t="s">
        <v>41</v>
      </c>
    </row>
    <row r="10" spans="1:9" x14ac:dyDescent="0.3">
      <c r="A10" s="10">
        <v>30</v>
      </c>
      <c r="B10" s="6" t="s">
        <v>44</v>
      </c>
      <c r="C10" s="6" t="s">
        <v>44</v>
      </c>
      <c r="D10" t="s">
        <v>45</v>
      </c>
      <c r="E10" t="s">
        <v>46</v>
      </c>
      <c r="F10" t="s">
        <v>47</v>
      </c>
      <c r="G10" t="s">
        <v>48</v>
      </c>
      <c r="H10" t="s">
        <v>49</v>
      </c>
      <c r="I10" t="s">
        <v>50</v>
      </c>
    </row>
    <row r="11" spans="1:9" x14ac:dyDescent="0.3">
      <c r="A11" s="10">
        <v>32</v>
      </c>
      <c r="B11" s="6" t="s">
        <v>51</v>
      </c>
      <c r="C11" s="6" t="s">
        <v>51</v>
      </c>
      <c r="D11" t="s">
        <v>52</v>
      </c>
      <c r="E11" t="s">
        <v>53</v>
      </c>
      <c r="F11" t="s">
        <v>54</v>
      </c>
      <c r="G11" t="s">
        <v>55</v>
      </c>
      <c r="H11" t="s">
        <v>56</v>
      </c>
      <c r="I11" t="s">
        <v>57</v>
      </c>
    </row>
    <row r="12" spans="1:9" x14ac:dyDescent="0.3">
      <c r="A12" s="10">
        <v>33</v>
      </c>
      <c r="B12" s="6" t="s">
        <v>58</v>
      </c>
      <c r="C12" s="6" t="s">
        <v>58</v>
      </c>
      <c r="D12" t="s">
        <v>59</v>
      </c>
      <c r="E12" t="s">
        <v>60</v>
      </c>
      <c r="F12" t="s">
        <v>61</v>
      </c>
      <c r="G12" t="s">
        <v>62</v>
      </c>
      <c r="H12" t="s">
        <v>63</v>
      </c>
      <c r="I12" t="s">
        <v>64</v>
      </c>
    </row>
    <row r="13" spans="1:9" x14ac:dyDescent="0.3">
      <c r="A13" s="10">
        <v>51</v>
      </c>
      <c r="B13" s="6" t="s">
        <v>65</v>
      </c>
      <c r="C13" s="6" t="s">
        <v>65</v>
      </c>
      <c r="D13" t="s">
        <v>319</v>
      </c>
      <c r="E13" t="s">
        <v>320</v>
      </c>
      <c r="F13" s="67" t="s">
        <v>321</v>
      </c>
      <c r="G13" t="s">
        <v>322</v>
      </c>
      <c r="H13" t="s">
        <v>323</v>
      </c>
      <c r="I13" s="67" t="s">
        <v>324</v>
      </c>
    </row>
    <row r="14" spans="1:9" x14ac:dyDescent="0.3">
      <c r="A14" s="10">
        <v>124</v>
      </c>
      <c r="B14" s="6" t="s">
        <v>66</v>
      </c>
      <c r="C14" s="6" t="s">
        <v>67</v>
      </c>
      <c r="D14" t="s">
        <v>68</v>
      </c>
      <c r="E14" t="s">
        <v>69</v>
      </c>
      <c r="F14" t="s">
        <v>70</v>
      </c>
      <c r="G14" t="s">
        <v>71</v>
      </c>
      <c r="H14" t="s">
        <v>72</v>
      </c>
      <c r="I14" t="s">
        <v>73</v>
      </c>
    </row>
    <row r="15" spans="1:9" x14ac:dyDescent="0.3">
      <c r="A15" s="10">
        <v>126</v>
      </c>
      <c r="B15" s="6" t="s">
        <v>74</v>
      </c>
      <c r="C15" s="6" t="s">
        <v>74</v>
      </c>
      <c r="D15" t="s">
        <v>75</v>
      </c>
      <c r="E15" t="s">
        <v>76</v>
      </c>
      <c r="F15" t="s">
        <v>77</v>
      </c>
      <c r="G15" t="s">
        <v>78</v>
      </c>
      <c r="H15" t="s">
        <v>79</v>
      </c>
      <c r="I15" t="s">
        <v>80</v>
      </c>
    </row>
    <row r="16" spans="1:9" x14ac:dyDescent="0.3">
      <c r="A16" s="10">
        <v>131</v>
      </c>
      <c r="B16" s="6" t="s">
        <v>81</v>
      </c>
      <c r="C16" s="6" t="s">
        <v>67</v>
      </c>
      <c r="D16" t="s">
        <v>68</v>
      </c>
      <c r="E16" t="s">
        <v>69</v>
      </c>
      <c r="F16" t="s">
        <v>70</v>
      </c>
      <c r="G16" t="s">
        <v>71</v>
      </c>
      <c r="H16" t="s">
        <v>72</v>
      </c>
      <c r="I16" t="s">
        <v>73</v>
      </c>
    </row>
  </sheetData>
  <hyperlinks>
    <hyperlink ref="I12" r:id="rId1" display="http://www.malouisville.com" xr:uid="{00000000-0004-0000-0900-000000000000}"/>
    <hyperlink ref="F13" r:id="rId2" xr:uid="{00000000-0004-0000-0900-000001000000}"/>
    <hyperlink ref="I13" r:id="rId3" xr:uid="{00000000-0004-0000-0900-000002000000}"/>
  </hyperlinks>
  <pageMargins left="0.7" right="0.7" top="0.75" bottom="0.75" header="0.3" footer="0.3"/>
  <pageSetup orientation="portrait" r:id="rId4"/>
  <tableParts count="1">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188"/>
  <sheetViews>
    <sheetView topLeftCell="F1" workbookViewId="0">
      <pane ySplit="1" topLeftCell="A2" activePane="bottomLeft" state="frozen"/>
      <selection pane="bottomLeft" activeCell="H7" sqref="H7"/>
    </sheetView>
  </sheetViews>
  <sheetFormatPr defaultColWidth="8.88671875" defaultRowHeight="15.6" x14ac:dyDescent="0.3"/>
  <cols>
    <col min="1" max="2" width="8.88671875" style="36"/>
    <col min="3" max="3" width="76.5546875" style="37" customWidth="1"/>
    <col min="4" max="4" width="14" style="38" customWidth="1"/>
    <col min="5" max="5" width="16.6640625" style="38" bestFit="1" customWidth="1"/>
    <col min="6" max="6" width="14.5546875" style="38" customWidth="1"/>
    <col min="7" max="7" width="34.109375" style="38" bestFit="1" customWidth="1"/>
    <col min="8" max="8" width="34.109375" style="38" customWidth="1"/>
    <col min="9" max="9" width="23.6640625" style="38" bestFit="1" customWidth="1"/>
    <col min="10" max="10" width="23.6640625" style="38" customWidth="1"/>
    <col min="11" max="11" width="34.6640625" style="38" bestFit="1" customWidth="1"/>
    <col min="12" max="12" width="30.44140625" style="38" bestFit="1" customWidth="1"/>
    <col min="13" max="13" width="38" style="38" customWidth="1"/>
    <col min="14" max="14" width="34.6640625" style="38" bestFit="1" customWidth="1"/>
    <col min="15" max="15" width="33.88671875" style="38" customWidth="1"/>
    <col min="16" max="16" width="31.33203125" style="38" bestFit="1" customWidth="1"/>
    <col min="17" max="17" width="34.88671875" style="38" bestFit="1" customWidth="1"/>
    <col min="18" max="18" width="33.44140625" style="59" bestFit="1" customWidth="1"/>
    <col min="19" max="19" width="34.6640625" style="36" bestFit="1" customWidth="1"/>
    <col min="20" max="22" width="8.88671875" style="36"/>
    <col min="23" max="23" width="17.5546875" style="36" customWidth="1"/>
    <col min="24" max="16384" width="8.88671875" style="36"/>
  </cols>
  <sheetData>
    <row r="1" spans="1:23" x14ac:dyDescent="0.3">
      <c r="A1" s="36" t="s">
        <v>90</v>
      </c>
      <c r="B1" s="36" t="s">
        <v>91</v>
      </c>
      <c r="C1" s="32" t="s">
        <v>127</v>
      </c>
      <c r="D1" s="33" t="s">
        <v>128</v>
      </c>
      <c r="E1" s="33" t="s">
        <v>325</v>
      </c>
      <c r="F1" s="33" t="s">
        <v>129</v>
      </c>
      <c r="G1" s="34" t="s">
        <v>130</v>
      </c>
      <c r="H1" s="34" t="s">
        <v>176</v>
      </c>
      <c r="I1" s="34" t="s">
        <v>131</v>
      </c>
      <c r="J1" s="34" t="s">
        <v>177</v>
      </c>
      <c r="K1" s="34" t="s">
        <v>132</v>
      </c>
      <c r="L1" s="34" t="s">
        <v>178</v>
      </c>
      <c r="M1" s="35" t="s">
        <v>133</v>
      </c>
      <c r="N1" s="35" t="s">
        <v>179</v>
      </c>
      <c r="O1" s="35" t="s">
        <v>134</v>
      </c>
      <c r="P1" s="35" t="s">
        <v>180</v>
      </c>
      <c r="Q1" s="35" t="s">
        <v>135</v>
      </c>
      <c r="R1" s="58" t="s">
        <v>170</v>
      </c>
      <c r="S1" s="58" t="s">
        <v>167</v>
      </c>
      <c r="W1" s="57"/>
    </row>
    <row r="2" spans="1:23" x14ac:dyDescent="0.3">
      <c r="A2" s="36">
        <v>2018</v>
      </c>
      <c r="B2" s="63" t="s">
        <v>93</v>
      </c>
      <c r="C2" s="37" t="s">
        <v>490</v>
      </c>
      <c r="D2" s="38" t="s">
        <v>136</v>
      </c>
      <c r="E2" s="39">
        <v>1</v>
      </c>
      <c r="F2" s="39">
        <v>1</v>
      </c>
      <c r="G2" s="38" t="s">
        <v>137</v>
      </c>
      <c r="H2" s="38" t="s">
        <v>137</v>
      </c>
      <c r="I2" s="39" t="s">
        <v>138</v>
      </c>
      <c r="J2" s="39" t="s">
        <v>141</v>
      </c>
      <c r="K2" s="38" t="s">
        <v>261</v>
      </c>
      <c r="L2" s="38" t="s">
        <v>196</v>
      </c>
      <c r="M2" s="38" t="s">
        <v>250</v>
      </c>
      <c r="N2" s="38" t="s">
        <v>137</v>
      </c>
      <c r="O2" s="39" t="s">
        <v>259</v>
      </c>
      <c r="P2" s="39" t="s">
        <v>195</v>
      </c>
      <c r="Q2" s="39" t="s">
        <v>195</v>
      </c>
      <c r="R2" s="39" t="s">
        <v>195</v>
      </c>
      <c r="S2" s="39" t="s">
        <v>212</v>
      </c>
      <c r="W2" s="57"/>
    </row>
    <row r="3" spans="1:23" x14ac:dyDescent="0.3">
      <c r="A3" s="36">
        <v>2019</v>
      </c>
      <c r="B3" s="64" t="s">
        <v>175</v>
      </c>
      <c r="C3" s="37" t="s">
        <v>491</v>
      </c>
      <c r="D3" s="38">
        <v>1</v>
      </c>
      <c r="E3" s="39">
        <v>5</v>
      </c>
      <c r="F3" s="39">
        <v>5</v>
      </c>
      <c r="G3" s="38" t="s">
        <v>140</v>
      </c>
      <c r="H3" s="38" t="s">
        <v>140</v>
      </c>
      <c r="I3" s="39" t="s">
        <v>139</v>
      </c>
      <c r="J3" s="39" t="s">
        <v>158</v>
      </c>
      <c r="K3" s="38" t="s">
        <v>262</v>
      </c>
      <c r="L3" s="38" t="s">
        <v>161</v>
      </c>
      <c r="M3" s="38" t="s">
        <v>251</v>
      </c>
      <c r="N3" s="38" t="s">
        <v>140</v>
      </c>
      <c r="O3" s="39" t="s">
        <v>195</v>
      </c>
      <c r="P3" s="39" t="s">
        <v>194</v>
      </c>
      <c r="Q3" s="39" t="s">
        <v>261</v>
      </c>
      <c r="R3" s="39" t="s">
        <v>194</v>
      </c>
      <c r="S3" s="39" t="s">
        <v>213</v>
      </c>
      <c r="W3" s="57"/>
    </row>
    <row r="4" spans="1:23" x14ac:dyDescent="0.3">
      <c r="A4" s="36">
        <v>2020</v>
      </c>
      <c r="B4" s="63" t="s">
        <v>182</v>
      </c>
      <c r="C4" s="37" t="s">
        <v>492</v>
      </c>
      <c r="D4" s="38">
        <v>2</v>
      </c>
      <c r="E4" s="39">
        <v>6</v>
      </c>
      <c r="F4" s="39">
        <v>6</v>
      </c>
      <c r="G4" s="38" t="s">
        <v>142</v>
      </c>
      <c r="H4" s="38" t="s">
        <v>145</v>
      </c>
      <c r="I4" s="38" t="s">
        <v>141</v>
      </c>
      <c r="K4" s="38" t="s">
        <v>199</v>
      </c>
      <c r="L4" s="38" t="s">
        <v>197</v>
      </c>
      <c r="M4" s="38" t="s">
        <v>252</v>
      </c>
      <c r="N4" s="38" t="s">
        <v>147</v>
      </c>
      <c r="O4" s="39" t="s">
        <v>194</v>
      </c>
      <c r="P4" s="39" t="s">
        <v>246</v>
      </c>
      <c r="Q4" s="39" t="s">
        <v>262</v>
      </c>
      <c r="R4" s="39" t="s">
        <v>199</v>
      </c>
      <c r="S4" s="39" t="s">
        <v>214</v>
      </c>
      <c r="W4" s="57"/>
    </row>
    <row r="5" spans="1:23" x14ac:dyDescent="0.3">
      <c r="A5" s="36">
        <v>2021</v>
      </c>
      <c r="B5" s="64" t="s">
        <v>183</v>
      </c>
      <c r="C5" s="37" t="s">
        <v>493</v>
      </c>
      <c r="D5" s="38">
        <v>3</v>
      </c>
      <c r="E5" s="39">
        <v>7</v>
      </c>
      <c r="F5" s="39">
        <v>7</v>
      </c>
      <c r="G5" s="38" t="s">
        <v>143</v>
      </c>
      <c r="H5" s="38" t="s">
        <v>148</v>
      </c>
      <c r="I5" s="39" t="s">
        <v>144</v>
      </c>
      <c r="J5" s="39"/>
      <c r="K5" s="38" t="s">
        <v>141</v>
      </c>
      <c r="L5" s="38" t="s">
        <v>198</v>
      </c>
      <c r="M5" s="38" t="s">
        <v>253</v>
      </c>
      <c r="N5" s="38" t="s">
        <v>153</v>
      </c>
      <c r="O5" s="39" t="s">
        <v>246</v>
      </c>
      <c r="P5" s="39" t="s">
        <v>199</v>
      </c>
      <c r="Q5" s="39" t="s">
        <v>194</v>
      </c>
      <c r="R5" s="39" t="s">
        <v>201</v>
      </c>
      <c r="S5" s="39" t="s">
        <v>215</v>
      </c>
      <c r="W5" s="57"/>
    </row>
    <row r="6" spans="1:23" x14ac:dyDescent="0.3">
      <c r="A6" s="36">
        <v>2022</v>
      </c>
      <c r="B6" s="63" t="s">
        <v>174</v>
      </c>
      <c r="C6" s="37" t="s">
        <v>494</v>
      </c>
      <c r="D6" s="38">
        <v>4</v>
      </c>
      <c r="E6" s="39">
        <v>30</v>
      </c>
      <c r="F6" s="39">
        <v>30</v>
      </c>
      <c r="G6" s="38" t="s">
        <v>145</v>
      </c>
      <c r="H6" s="38" t="s">
        <v>155</v>
      </c>
      <c r="I6" s="39" t="s">
        <v>146</v>
      </c>
      <c r="J6" s="39"/>
      <c r="K6" s="39" t="s">
        <v>201</v>
      </c>
      <c r="L6" s="39"/>
      <c r="M6" s="39" t="s">
        <v>254</v>
      </c>
      <c r="O6" s="39" t="s">
        <v>199</v>
      </c>
      <c r="P6" s="39" t="s">
        <v>200</v>
      </c>
      <c r="Q6" s="39" t="s">
        <v>199</v>
      </c>
      <c r="R6" s="39" t="s">
        <v>202</v>
      </c>
      <c r="S6" s="39" t="s">
        <v>216</v>
      </c>
      <c r="W6" s="57"/>
    </row>
    <row r="7" spans="1:23" x14ac:dyDescent="0.3">
      <c r="A7" s="36">
        <v>2023</v>
      </c>
      <c r="B7" s="64" t="s">
        <v>173</v>
      </c>
      <c r="C7" s="37" t="s">
        <v>495</v>
      </c>
      <c r="E7" s="39">
        <v>32</v>
      </c>
      <c r="F7" s="39">
        <v>32</v>
      </c>
      <c r="G7" s="38" t="s">
        <v>148</v>
      </c>
      <c r="I7" s="39" t="s">
        <v>149</v>
      </c>
      <c r="J7" s="39"/>
      <c r="K7" s="39" t="s">
        <v>202</v>
      </c>
      <c r="L7" s="39"/>
      <c r="M7" s="39" t="s">
        <v>191</v>
      </c>
      <c r="O7" s="39" t="s">
        <v>200</v>
      </c>
      <c r="P7" s="39" t="s">
        <v>247</v>
      </c>
      <c r="Q7" s="39" t="s">
        <v>200</v>
      </c>
      <c r="R7" s="39" t="s">
        <v>203</v>
      </c>
      <c r="S7" s="39" t="s">
        <v>217</v>
      </c>
      <c r="W7" s="57"/>
    </row>
    <row r="8" spans="1:23" x14ac:dyDescent="0.3">
      <c r="A8" s="36">
        <v>2024</v>
      </c>
      <c r="B8" s="63" t="s">
        <v>184</v>
      </c>
      <c r="C8" s="37" t="s">
        <v>496</v>
      </c>
      <c r="E8" s="39">
        <v>33</v>
      </c>
      <c r="F8" s="39">
        <v>33</v>
      </c>
      <c r="G8" s="38" t="s">
        <v>150</v>
      </c>
      <c r="I8" s="39" t="s">
        <v>151</v>
      </c>
      <c r="J8" s="39"/>
      <c r="K8" s="38" t="s">
        <v>203</v>
      </c>
      <c r="M8" s="38" t="s">
        <v>255</v>
      </c>
      <c r="O8" s="38" t="s">
        <v>247</v>
      </c>
      <c r="Q8" s="38" t="s">
        <v>201</v>
      </c>
      <c r="R8" s="39" t="s">
        <v>204</v>
      </c>
      <c r="S8" s="39" t="s">
        <v>218</v>
      </c>
      <c r="W8" s="57"/>
    </row>
    <row r="9" spans="1:23" x14ac:dyDescent="0.3">
      <c r="A9" s="36">
        <v>2025</v>
      </c>
      <c r="B9" s="64" t="s">
        <v>171</v>
      </c>
      <c r="C9" s="37" t="s">
        <v>497</v>
      </c>
      <c r="E9" s="39">
        <v>51</v>
      </c>
      <c r="F9" s="39">
        <v>51</v>
      </c>
      <c r="G9" s="38" t="s">
        <v>190</v>
      </c>
      <c r="I9" s="39" t="s">
        <v>192</v>
      </c>
      <c r="J9" s="39"/>
      <c r="K9" s="38" t="s">
        <v>204</v>
      </c>
      <c r="M9" s="38" t="s">
        <v>190</v>
      </c>
      <c r="O9" s="39" t="s">
        <v>318</v>
      </c>
      <c r="P9" s="39"/>
      <c r="Q9" s="39" t="s">
        <v>202</v>
      </c>
      <c r="R9" s="39" t="s">
        <v>205</v>
      </c>
      <c r="S9" s="39" t="s">
        <v>219</v>
      </c>
      <c r="W9" s="57"/>
    </row>
    <row r="10" spans="1:23" x14ac:dyDescent="0.3">
      <c r="A10" s="36">
        <v>2026</v>
      </c>
      <c r="B10" s="63" t="s">
        <v>172</v>
      </c>
      <c r="C10" s="37" t="s">
        <v>498</v>
      </c>
      <c r="E10" s="39">
        <v>124</v>
      </c>
      <c r="F10" s="39">
        <v>124</v>
      </c>
      <c r="G10" s="38" t="s">
        <v>152</v>
      </c>
      <c r="I10" s="39" t="s">
        <v>154</v>
      </c>
      <c r="J10" s="39"/>
      <c r="K10" s="39" t="s">
        <v>205</v>
      </c>
      <c r="L10" s="39"/>
      <c r="M10" s="39" t="s">
        <v>315</v>
      </c>
      <c r="O10" s="38" t="s">
        <v>193</v>
      </c>
      <c r="Q10" s="38" t="s">
        <v>203</v>
      </c>
      <c r="R10" s="39" t="s">
        <v>206</v>
      </c>
      <c r="S10" s="39" t="s">
        <v>220</v>
      </c>
      <c r="W10" s="57"/>
    </row>
    <row r="11" spans="1:23" x14ac:dyDescent="0.3">
      <c r="A11" s="36">
        <v>2027</v>
      </c>
      <c r="B11" s="64" t="s">
        <v>185</v>
      </c>
      <c r="C11" s="37" t="s">
        <v>499</v>
      </c>
      <c r="E11" s="39">
        <v>126</v>
      </c>
      <c r="F11" s="39">
        <v>126</v>
      </c>
      <c r="G11" s="38" t="s">
        <v>189</v>
      </c>
      <c r="I11" s="39" t="s">
        <v>158</v>
      </c>
      <c r="J11" s="39"/>
      <c r="K11" s="39" t="s">
        <v>206</v>
      </c>
      <c r="L11" s="39"/>
      <c r="M11" s="39" t="s">
        <v>189</v>
      </c>
      <c r="O11" s="38" t="s">
        <v>192</v>
      </c>
      <c r="Q11" s="38" t="s">
        <v>204</v>
      </c>
      <c r="R11" s="39" t="s">
        <v>207</v>
      </c>
      <c r="S11" s="39" t="s">
        <v>221</v>
      </c>
      <c r="W11" s="57"/>
    </row>
    <row r="12" spans="1:23" x14ac:dyDescent="0.3">
      <c r="A12" s="36">
        <v>2028</v>
      </c>
      <c r="B12" s="63" t="s">
        <v>186</v>
      </c>
      <c r="C12" s="37" t="s">
        <v>500</v>
      </c>
      <c r="E12" s="39">
        <v>131</v>
      </c>
      <c r="F12" s="39">
        <v>131</v>
      </c>
      <c r="G12" s="38" t="s">
        <v>155</v>
      </c>
      <c r="I12" s="39" t="s">
        <v>160</v>
      </c>
      <c r="J12" s="39"/>
      <c r="K12" s="38" t="s">
        <v>207</v>
      </c>
      <c r="M12" s="38" t="s">
        <v>256</v>
      </c>
      <c r="O12" s="38" t="s">
        <v>260</v>
      </c>
      <c r="Q12" s="38" t="s">
        <v>205</v>
      </c>
      <c r="R12" s="39" t="s">
        <v>208</v>
      </c>
      <c r="S12" s="39" t="s">
        <v>222</v>
      </c>
      <c r="W12" s="57"/>
    </row>
    <row r="13" spans="1:23" x14ac:dyDescent="0.3">
      <c r="A13" s="36">
        <v>2029</v>
      </c>
      <c r="B13" s="64" t="s">
        <v>187</v>
      </c>
      <c r="C13" s="37" t="s">
        <v>501</v>
      </c>
      <c r="E13" s="39">
        <v>555</v>
      </c>
      <c r="F13" s="39">
        <v>555</v>
      </c>
      <c r="G13" s="38" t="s">
        <v>159</v>
      </c>
      <c r="K13" s="38" t="s">
        <v>208</v>
      </c>
      <c r="M13" s="38" t="s">
        <v>257</v>
      </c>
      <c r="Q13" s="38" t="s">
        <v>206</v>
      </c>
      <c r="R13" s="39" t="s">
        <v>209</v>
      </c>
      <c r="S13" s="39" t="s">
        <v>223</v>
      </c>
      <c r="W13" s="57"/>
    </row>
    <row r="14" spans="1:23" x14ac:dyDescent="0.3">
      <c r="A14" s="36">
        <v>2030</v>
      </c>
      <c r="C14" s="37" t="s">
        <v>502</v>
      </c>
      <c r="E14" s="38">
        <v>999</v>
      </c>
      <c r="F14" s="39">
        <v>567</v>
      </c>
      <c r="G14" s="38" t="s">
        <v>153</v>
      </c>
      <c r="K14" s="38" t="s">
        <v>209</v>
      </c>
      <c r="M14" s="38" t="s">
        <v>258</v>
      </c>
      <c r="Q14" s="38" t="s">
        <v>207</v>
      </c>
      <c r="R14" s="39" t="s">
        <v>210</v>
      </c>
      <c r="S14" s="39" t="s">
        <v>224</v>
      </c>
      <c r="W14" s="57"/>
    </row>
    <row r="15" spans="1:23" x14ac:dyDescent="0.3">
      <c r="A15" s="36">
        <v>2031</v>
      </c>
      <c r="C15" s="37" t="s">
        <v>503</v>
      </c>
      <c r="F15" s="39">
        <v>678</v>
      </c>
      <c r="G15" s="38" t="s">
        <v>156</v>
      </c>
      <c r="K15" s="38" t="s">
        <v>210</v>
      </c>
      <c r="M15" s="38" t="s">
        <v>188</v>
      </c>
      <c r="Q15" s="38" t="s">
        <v>208</v>
      </c>
      <c r="R15" s="39" t="s">
        <v>211</v>
      </c>
      <c r="S15" s="39" t="s">
        <v>225</v>
      </c>
      <c r="W15" s="57"/>
    </row>
    <row r="16" spans="1:23" x14ac:dyDescent="0.3">
      <c r="A16" s="36">
        <v>2032</v>
      </c>
      <c r="C16" s="37" t="s">
        <v>504</v>
      </c>
      <c r="F16" s="39">
        <v>777</v>
      </c>
      <c r="K16" s="38" t="s">
        <v>211</v>
      </c>
      <c r="Q16" s="38" t="s">
        <v>263</v>
      </c>
      <c r="R16" s="39" t="s">
        <v>248</v>
      </c>
      <c r="S16" s="39" t="s">
        <v>226</v>
      </c>
      <c r="W16" s="57"/>
    </row>
    <row r="17" spans="1:23" x14ac:dyDescent="0.3">
      <c r="A17" s="36">
        <v>2033</v>
      </c>
      <c r="C17" s="37" t="s">
        <v>505</v>
      </c>
      <c r="F17" s="39">
        <v>888</v>
      </c>
      <c r="K17" s="38" t="s">
        <v>265</v>
      </c>
      <c r="Q17" s="38" t="s">
        <v>209</v>
      </c>
      <c r="R17" s="39" t="s">
        <v>249</v>
      </c>
      <c r="S17" s="39" t="s">
        <v>227</v>
      </c>
      <c r="W17" s="57"/>
    </row>
    <row r="18" spans="1:23" x14ac:dyDescent="0.3">
      <c r="A18" s="36">
        <v>2034</v>
      </c>
      <c r="C18" s="37" t="s">
        <v>506</v>
      </c>
      <c r="F18" s="39">
        <v>999</v>
      </c>
      <c r="G18" s="65"/>
      <c r="K18" s="38" t="s">
        <v>266</v>
      </c>
      <c r="Q18" s="38" t="s">
        <v>264</v>
      </c>
      <c r="R18" s="39" t="s">
        <v>247</v>
      </c>
      <c r="S18" s="39" t="s">
        <v>314</v>
      </c>
      <c r="W18" s="57"/>
    </row>
    <row r="19" spans="1:23" x14ac:dyDescent="0.3">
      <c r="A19" s="36">
        <v>2035</v>
      </c>
      <c r="C19" s="37" t="s">
        <v>507</v>
      </c>
      <c r="K19" s="38" t="s">
        <v>212</v>
      </c>
      <c r="Q19" s="38" t="s">
        <v>210</v>
      </c>
      <c r="R19" s="39" t="s">
        <v>197</v>
      </c>
      <c r="S19" s="39" t="s">
        <v>229</v>
      </c>
      <c r="W19" s="57"/>
    </row>
    <row r="20" spans="1:23" x14ac:dyDescent="0.3">
      <c r="A20" s="36">
        <v>2036</v>
      </c>
      <c r="C20" s="37" t="s">
        <v>508</v>
      </c>
      <c r="K20" s="38" t="s">
        <v>213</v>
      </c>
      <c r="Q20" s="38" t="s">
        <v>211</v>
      </c>
      <c r="R20" s="39" t="s">
        <v>198</v>
      </c>
      <c r="S20" s="39" t="s">
        <v>230</v>
      </c>
      <c r="W20" s="57"/>
    </row>
    <row r="21" spans="1:23" x14ac:dyDescent="0.3">
      <c r="A21" s="36">
        <v>2037</v>
      </c>
      <c r="C21" s="37" t="s">
        <v>509</v>
      </c>
      <c r="K21" s="38" t="s">
        <v>214</v>
      </c>
      <c r="Q21" s="38" t="s">
        <v>265</v>
      </c>
      <c r="S21" s="39" t="s">
        <v>231</v>
      </c>
      <c r="W21" s="57"/>
    </row>
    <row r="22" spans="1:23" x14ac:dyDescent="0.3">
      <c r="A22" s="36">
        <v>2038</v>
      </c>
      <c r="C22" s="37" t="s">
        <v>510</v>
      </c>
      <c r="K22" s="38" t="s">
        <v>268</v>
      </c>
      <c r="Q22" s="38" t="s">
        <v>266</v>
      </c>
      <c r="S22" s="39" t="s">
        <v>232</v>
      </c>
      <c r="W22" s="57"/>
    </row>
    <row r="23" spans="1:23" x14ac:dyDescent="0.3">
      <c r="A23" s="36">
        <v>2039</v>
      </c>
      <c r="C23" s="37" t="s">
        <v>511</v>
      </c>
      <c r="K23" s="38" t="s">
        <v>270</v>
      </c>
      <c r="Q23" s="38" t="s">
        <v>267</v>
      </c>
      <c r="S23" s="39" t="s">
        <v>233</v>
      </c>
      <c r="W23" s="57"/>
    </row>
    <row r="24" spans="1:23" x14ac:dyDescent="0.3">
      <c r="A24" s="36">
        <v>2040</v>
      </c>
      <c r="C24" s="37" t="s">
        <v>512</v>
      </c>
      <c r="K24" s="38" t="s">
        <v>271</v>
      </c>
      <c r="Q24" s="38" t="s">
        <v>212</v>
      </c>
      <c r="S24" s="39" t="s">
        <v>234</v>
      </c>
      <c r="W24" s="57"/>
    </row>
    <row r="25" spans="1:23" x14ac:dyDescent="0.3">
      <c r="C25" s="37" t="s">
        <v>513</v>
      </c>
      <c r="K25" s="38" t="s">
        <v>272</v>
      </c>
      <c r="Q25" s="38" t="s">
        <v>213</v>
      </c>
      <c r="S25" s="39" t="s">
        <v>235</v>
      </c>
      <c r="W25" s="57"/>
    </row>
    <row r="26" spans="1:23" x14ac:dyDescent="0.3">
      <c r="C26" s="37" t="s">
        <v>514</v>
      </c>
      <c r="K26" s="38" t="s">
        <v>273</v>
      </c>
      <c r="Q26" s="38" t="s">
        <v>214</v>
      </c>
      <c r="S26" s="39" t="s">
        <v>238</v>
      </c>
      <c r="W26" s="57"/>
    </row>
    <row r="27" spans="1:23" x14ac:dyDescent="0.3">
      <c r="C27" s="37" t="s">
        <v>515</v>
      </c>
      <c r="K27" s="38" t="s">
        <v>275</v>
      </c>
      <c r="Q27" s="38" t="s">
        <v>268</v>
      </c>
      <c r="S27" s="39" t="s">
        <v>239</v>
      </c>
      <c r="W27" s="57"/>
    </row>
    <row r="28" spans="1:23" x14ac:dyDescent="0.3">
      <c r="C28" s="37" t="s">
        <v>516</v>
      </c>
      <c r="K28" s="38" t="s">
        <v>276</v>
      </c>
      <c r="Q28" s="38" t="s">
        <v>269</v>
      </c>
      <c r="S28" s="39" t="s">
        <v>240</v>
      </c>
      <c r="W28" s="57"/>
    </row>
    <row r="29" spans="1:23" x14ac:dyDescent="0.3">
      <c r="C29" s="37" t="s">
        <v>517</v>
      </c>
      <c r="K29" s="38" t="s">
        <v>279</v>
      </c>
      <c r="Q29" s="38" t="s">
        <v>270</v>
      </c>
      <c r="S29" s="39" t="s">
        <v>243</v>
      </c>
      <c r="W29" s="57"/>
    </row>
    <row r="30" spans="1:23" x14ac:dyDescent="0.3">
      <c r="C30" s="37" t="s">
        <v>518</v>
      </c>
      <c r="K30" s="38" t="s">
        <v>215</v>
      </c>
      <c r="Q30" s="38" t="s">
        <v>271</v>
      </c>
      <c r="S30" s="39" t="s">
        <v>244</v>
      </c>
      <c r="W30" s="57"/>
    </row>
    <row r="31" spans="1:23" x14ac:dyDescent="0.3">
      <c r="C31" s="37" t="s">
        <v>519</v>
      </c>
      <c r="K31" s="38" t="s">
        <v>216</v>
      </c>
      <c r="Q31" s="38" t="s">
        <v>272</v>
      </c>
      <c r="W31" s="57"/>
    </row>
    <row r="32" spans="1:23" x14ac:dyDescent="0.3">
      <c r="C32" s="37" t="s">
        <v>520</v>
      </c>
      <c r="K32" s="38" t="s">
        <v>281</v>
      </c>
      <c r="Q32" s="38" t="s">
        <v>273</v>
      </c>
      <c r="W32" s="57"/>
    </row>
    <row r="33" spans="3:23" x14ac:dyDescent="0.3">
      <c r="C33" s="37" t="s">
        <v>521</v>
      </c>
      <c r="K33" s="38" t="s">
        <v>217</v>
      </c>
      <c r="Q33" s="38" t="s">
        <v>248</v>
      </c>
      <c r="W33" s="57"/>
    </row>
    <row r="34" spans="3:23" x14ac:dyDescent="0.3">
      <c r="C34" s="37" t="s">
        <v>522</v>
      </c>
      <c r="K34" s="38" t="s">
        <v>218</v>
      </c>
      <c r="Q34" s="38" t="s">
        <v>249</v>
      </c>
      <c r="W34" s="57"/>
    </row>
    <row r="35" spans="3:23" x14ac:dyDescent="0.3">
      <c r="C35" s="37" t="s">
        <v>523</v>
      </c>
      <c r="K35" s="38" t="s">
        <v>219</v>
      </c>
      <c r="Q35" s="38" t="s">
        <v>274</v>
      </c>
      <c r="W35" s="57"/>
    </row>
    <row r="36" spans="3:23" x14ac:dyDescent="0.3">
      <c r="C36" s="37" t="s">
        <v>524</v>
      </c>
      <c r="K36" s="38" t="s">
        <v>220</v>
      </c>
      <c r="Q36" s="38" t="s">
        <v>275</v>
      </c>
      <c r="W36" s="57"/>
    </row>
    <row r="37" spans="3:23" x14ac:dyDescent="0.3">
      <c r="C37" s="37" t="s">
        <v>525</v>
      </c>
      <c r="K37" s="38" t="s">
        <v>284</v>
      </c>
      <c r="Q37" s="38" t="s">
        <v>276</v>
      </c>
      <c r="W37" s="57"/>
    </row>
    <row r="38" spans="3:23" x14ac:dyDescent="0.3">
      <c r="C38" s="37" t="s">
        <v>526</v>
      </c>
      <c r="K38" s="38" t="s">
        <v>285</v>
      </c>
      <c r="Q38" s="38" t="s">
        <v>277</v>
      </c>
    </row>
    <row r="39" spans="3:23" x14ac:dyDescent="0.3">
      <c r="C39" s="37" t="s">
        <v>527</v>
      </c>
      <c r="K39" s="38" t="s">
        <v>196</v>
      </c>
      <c r="Q39" s="38" t="s">
        <v>278</v>
      </c>
    </row>
    <row r="40" spans="3:23" x14ac:dyDescent="0.3">
      <c r="C40" s="37" t="s">
        <v>528</v>
      </c>
      <c r="K40" s="38" t="s">
        <v>221</v>
      </c>
      <c r="Q40" s="38" t="s">
        <v>279</v>
      </c>
    </row>
    <row r="41" spans="3:23" x14ac:dyDescent="0.3">
      <c r="C41" s="37" t="s">
        <v>529</v>
      </c>
      <c r="K41" s="38" t="s">
        <v>222</v>
      </c>
      <c r="Q41" s="38" t="s">
        <v>215</v>
      </c>
    </row>
    <row r="42" spans="3:23" x14ac:dyDescent="0.3">
      <c r="C42" s="37" t="s">
        <v>530</v>
      </c>
      <c r="K42" s="38" t="s">
        <v>223</v>
      </c>
      <c r="Q42" s="38" t="s">
        <v>280</v>
      </c>
    </row>
    <row r="43" spans="3:23" x14ac:dyDescent="0.3">
      <c r="C43" s="37" t="s">
        <v>531</v>
      </c>
      <c r="K43" s="38" t="s">
        <v>224</v>
      </c>
      <c r="Q43" s="38" t="s">
        <v>247</v>
      </c>
    </row>
    <row r="44" spans="3:23" x14ac:dyDescent="0.3">
      <c r="C44" s="37" t="s">
        <v>532</v>
      </c>
      <c r="K44" s="38" t="s">
        <v>225</v>
      </c>
      <c r="Q44" s="38" t="s">
        <v>216</v>
      </c>
    </row>
    <row r="45" spans="3:23" x14ac:dyDescent="0.3">
      <c r="C45" s="37" t="s">
        <v>533</v>
      </c>
      <c r="K45" s="38" t="s">
        <v>226</v>
      </c>
      <c r="Q45" s="38" t="s">
        <v>281</v>
      </c>
    </row>
    <row r="46" spans="3:23" x14ac:dyDescent="0.3">
      <c r="C46" s="37" t="s">
        <v>534</v>
      </c>
      <c r="K46" s="38" t="s">
        <v>227</v>
      </c>
      <c r="Q46" s="38" t="s">
        <v>217</v>
      </c>
    </row>
    <row r="47" spans="3:23" x14ac:dyDescent="0.3">
      <c r="C47" s="37" t="s">
        <v>535</v>
      </c>
      <c r="K47" s="38" t="s">
        <v>191</v>
      </c>
      <c r="Q47" s="38" t="s">
        <v>218</v>
      </c>
    </row>
    <row r="48" spans="3:23" x14ac:dyDescent="0.3">
      <c r="C48" s="37" t="s">
        <v>536</v>
      </c>
      <c r="K48" s="38" t="s">
        <v>228</v>
      </c>
      <c r="Q48" s="38" t="s">
        <v>219</v>
      </c>
    </row>
    <row r="49" spans="3:17" x14ac:dyDescent="0.3">
      <c r="C49" s="37" t="s">
        <v>537</v>
      </c>
      <c r="K49" s="38" t="s">
        <v>229</v>
      </c>
      <c r="Q49" s="38" t="s">
        <v>220</v>
      </c>
    </row>
    <row r="50" spans="3:17" x14ac:dyDescent="0.3">
      <c r="C50" s="37" t="s">
        <v>538</v>
      </c>
      <c r="K50" s="38" t="s">
        <v>230</v>
      </c>
      <c r="Q50" s="38" t="s">
        <v>282</v>
      </c>
    </row>
    <row r="51" spans="3:17" x14ac:dyDescent="0.3">
      <c r="C51" s="37" t="s">
        <v>539</v>
      </c>
      <c r="K51" s="38" t="s">
        <v>231</v>
      </c>
      <c r="Q51" s="38" t="s">
        <v>283</v>
      </c>
    </row>
    <row r="52" spans="3:17" x14ac:dyDescent="0.3">
      <c r="C52" s="37" t="s">
        <v>540</v>
      </c>
      <c r="K52" s="38" t="s">
        <v>232</v>
      </c>
      <c r="Q52" s="38" t="s">
        <v>284</v>
      </c>
    </row>
    <row r="53" spans="3:17" x14ac:dyDescent="0.3">
      <c r="C53" s="37" t="s">
        <v>541</v>
      </c>
      <c r="K53" s="38" t="s">
        <v>233</v>
      </c>
      <c r="Q53" s="38" t="s">
        <v>285</v>
      </c>
    </row>
    <row r="54" spans="3:17" x14ac:dyDescent="0.3">
      <c r="C54" s="37" t="s">
        <v>542</v>
      </c>
      <c r="K54" s="38" t="s">
        <v>234</v>
      </c>
      <c r="Q54" s="38" t="s">
        <v>286</v>
      </c>
    </row>
    <row r="55" spans="3:17" x14ac:dyDescent="0.3">
      <c r="C55" s="37" t="s">
        <v>543</v>
      </c>
      <c r="K55" s="38" t="s">
        <v>235</v>
      </c>
      <c r="Q55" s="38" t="s">
        <v>221</v>
      </c>
    </row>
    <row r="56" spans="3:17" x14ac:dyDescent="0.3">
      <c r="C56" s="37" t="s">
        <v>544</v>
      </c>
      <c r="K56" s="38" t="s">
        <v>316</v>
      </c>
      <c r="Q56" s="38" t="s">
        <v>222</v>
      </c>
    </row>
    <row r="57" spans="3:17" x14ac:dyDescent="0.3">
      <c r="C57" s="37" t="s">
        <v>545</v>
      </c>
      <c r="K57" s="38" t="s">
        <v>236</v>
      </c>
      <c r="Q57" s="38" t="s">
        <v>223</v>
      </c>
    </row>
    <row r="58" spans="3:17" x14ac:dyDescent="0.3">
      <c r="C58" s="37" t="s">
        <v>546</v>
      </c>
      <c r="K58" s="38" t="s">
        <v>317</v>
      </c>
      <c r="Q58" s="38" t="s">
        <v>224</v>
      </c>
    </row>
    <row r="59" spans="3:17" x14ac:dyDescent="0.3">
      <c r="C59" s="37" t="s">
        <v>547</v>
      </c>
      <c r="K59" s="38" t="s">
        <v>298</v>
      </c>
      <c r="Q59" s="38" t="s">
        <v>225</v>
      </c>
    </row>
    <row r="60" spans="3:17" x14ac:dyDescent="0.3">
      <c r="C60" s="37" t="s">
        <v>548</v>
      </c>
      <c r="K60" s="38" t="s">
        <v>299</v>
      </c>
      <c r="Q60" s="38" t="s">
        <v>226</v>
      </c>
    </row>
    <row r="61" spans="3:17" x14ac:dyDescent="0.3">
      <c r="C61" s="37" t="s">
        <v>549</v>
      </c>
      <c r="K61" s="38" t="s">
        <v>300</v>
      </c>
      <c r="Q61" s="38" t="s">
        <v>287</v>
      </c>
    </row>
    <row r="62" spans="3:17" x14ac:dyDescent="0.3">
      <c r="C62" s="37" t="s">
        <v>550</v>
      </c>
      <c r="K62" s="38" t="s">
        <v>301</v>
      </c>
      <c r="Q62" s="38" t="s">
        <v>288</v>
      </c>
    </row>
    <row r="63" spans="3:17" x14ac:dyDescent="0.3">
      <c r="C63" s="37" t="s">
        <v>551</v>
      </c>
      <c r="K63" s="38" t="s">
        <v>302</v>
      </c>
      <c r="Q63" s="38" t="s">
        <v>289</v>
      </c>
    </row>
    <row r="64" spans="3:17" x14ac:dyDescent="0.3">
      <c r="C64" s="37" t="s">
        <v>552</v>
      </c>
      <c r="K64" s="38" t="s">
        <v>237</v>
      </c>
      <c r="Q64" s="38" t="s">
        <v>290</v>
      </c>
    </row>
    <row r="65" spans="3:17" x14ac:dyDescent="0.3">
      <c r="C65" s="37" t="s">
        <v>553</v>
      </c>
      <c r="K65" s="38" t="s">
        <v>238</v>
      </c>
      <c r="Q65" s="38" t="s">
        <v>291</v>
      </c>
    </row>
    <row r="66" spans="3:17" x14ac:dyDescent="0.3">
      <c r="C66" s="37" t="s">
        <v>554</v>
      </c>
      <c r="K66" s="38" t="s">
        <v>239</v>
      </c>
      <c r="Q66" s="38" t="s">
        <v>292</v>
      </c>
    </row>
    <row r="67" spans="3:17" x14ac:dyDescent="0.3">
      <c r="C67" s="37" t="s">
        <v>555</v>
      </c>
      <c r="K67" s="38" t="s">
        <v>240</v>
      </c>
      <c r="Q67" s="38" t="s">
        <v>293</v>
      </c>
    </row>
    <row r="68" spans="3:17" x14ac:dyDescent="0.3">
      <c r="C68" s="37" t="s">
        <v>556</v>
      </c>
      <c r="K68" s="38" t="s">
        <v>197</v>
      </c>
      <c r="Q68" s="38" t="s">
        <v>294</v>
      </c>
    </row>
    <row r="69" spans="3:17" x14ac:dyDescent="0.3">
      <c r="C69" s="37" t="s">
        <v>557</v>
      </c>
      <c r="K69" s="38" t="s">
        <v>305</v>
      </c>
      <c r="Q69" s="38" t="s">
        <v>295</v>
      </c>
    </row>
    <row r="70" spans="3:17" x14ac:dyDescent="0.3">
      <c r="C70" s="37" t="s">
        <v>558</v>
      </c>
      <c r="K70" s="38" t="s">
        <v>241</v>
      </c>
      <c r="Q70" s="38" t="s">
        <v>227</v>
      </c>
    </row>
    <row r="71" spans="3:17" x14ac:dyDescent="0.3">
      <c r="C71" s="37" t="s">
        <v>559</v>
      </c>
      <c r="K71" s="38" t="s">
        <v>307</v>
      </c>
      <c r="Q71" s="38" t="s">
        <v>191</v>
      </c>
    </row>
    <row r="72" spans="3:17" x14ac:dyDescent="0.3">
      <c r="C72" s="37" t="s">
        <v>560</v>
      </c>
      <c r="K72" s="38" t="s">
        <v>198</v>
      </c>
      <c r="Q72" s="38" t="s">
        <v>229</v>
      </c>
    </row>
    <row r="73" spans="3:17" x14ac:dyDescent="0.3">
      <c r="C73" s="37" t="s">
        <v>561</v>
      </c>
      <c r="K73" s="38" t="s">
        <v>242</v>
      </c>
      <c r="Q73" s="38" t="s">
        <v>230</v>
      </c>
    </row>
    <row r="74" spans="3:17" x14ac:dyDescent="0.3">
      <c r="C74" s="37" t="s">
        <v>562</v>
      </c>
      <c r="K74" s="38" t="s">
        <v>243</v>
      </c>
      <c r="Q74" s="38" t="s">
        <v>231</v>
      </c>
    </row>
    <row r="75" spans="3:17" x14ac:dyDescent="0.3">
      <c r="C75" s="37" t="s">
        <v>563</v>
      </c>
      <c r="K75" s="38" t="s">
        <v>244</v>
      </c>
      <c r="Q75" s="38" t="s">
        <v>232</v>
      </c>
    </row>
    <row r="76" spans="3:17" x14ac:dyDescent="0.3">
      <c r="C76" s="37" t="s">
        <v>564</v>
      </c>
      <c r="K76" s="38" t="s">
        <v>245</v>
      </c>
      <c r="Q76" s="38" t="s">
        <v>233</v>
      </c>
    </row>
    <row r="77" spans="3:17" x14ac:dyDescent="0.3">
      <c r="C77" s="37" t="s">
        <v>565</v>
      </c>
      <c r="K77" s="38" t="s">
        <v>313</v>
      </c>
      <c r="Q77" s="38" t="s">
        <v>234</v>
      </c>
    </row>
    <row r="78" spans="3:17" x14ac:dyDescent="0.3">
      <c r="C78" s="37" t="s">
        <v>566</v>
      </c>
      <c r="Q78" s="38" t="s">
        <v>235</v>
      </c>
    </row>
    <row r="79" spans="3:17" x14ac:dyDescent="0.3">
      <c r="C79" s="37" t="s">
        <v>567</v>
      </c>
      <c r="Q79" s="38" t="s">
        <v>296</v>
      </c>
    </row>
    <row r="80" spans="3:17" x14ac:dyDescent="0.3">
      <c r="C80" s="37" t="s">
        <v>568</v>
      </c>
      <c r="Q80" s="38" t="s">
        <v>297</v>
      </c>
    </row>
    <row r="81" spans="3:17" x14ac:dyDescent="0.3">
      <c r="C81" s="37" t="s">
        <v>569</v>
      </c>
      <c r="Q81" s="38" t="s">
        <v>316</v>
      </c>
    </row>
    <row r="82" spans="3:17" x14ac:dyDescent="0.3">
      <c r="C82" s="37" t="s">
        <v>570</v>
      </c>
      <c r="Q82" s="38" t="s">
        <v>236</v>
      </c>
    </row>
    <row r="83" spans="3:17" x14ac:dyDescent="0.3">
      <c r="C83" s="37" t="s">
        <v>571</v>
      </c>
      <c r="Q83" s="38" t="s">
        <v>317</v>
      </c>
    </row>
    <row r="84" spans="3:17" x14ac:dyDescent="0.3">
      <c r="C84" s="37" t="s">
        <v>572</v>
      </c>
      <c r="Q84" s="38" t="s">
        <v>298</v>
      </c>
    </row>
    <row r="85" spans="3:17" x14ac:dyDescent="0.3">
      <c r="C85" s="37" t="s">
        <v>573</v>
      </c>
      <c r="Q85" s="38" t="s">
        <v>299</v>
      </c>
    </row>
    <row r="86" spans="3:17" x14ac:dyDescent="0.3">
      <c r="C86" s="37" t="s">
        <v>574</v>
      </c>
      <c r="Q86" s="38" t="s">
        <v>300</v>
      </c>
    </row>
    <row r="87" spans="3:17" x14ac:dyDescent="0.3">
      <c r="C87" s="37" t="s">
        <v>575</v>
      </c>
      <c r="Q87" s="38" t="s">
        <v>301</v>
      </c>
    </row>
    <row r="88" spans="3:17" x14ac:dyDescent="0.3">
      <c r="C88" s="37" t="s">
        <v>576</v>
      </c>
      <c r="Q88" s="38" t="s">
        <v>302</v>
      </c>
    </row>
    <row r="89" spans="3:17" x14ac:dyDescent="0.3">
      <c r="C89" s="37" t="s">
        <v>577</v>
      </c>
      <c r="Q89" s="38" t="s">
        <v>303</v>
      </c>
    </row>
    <row r="90" spans="3:17" x14ac:dyDescent="0.3">
      <c r="C90" s="37" t="s">
        <v>578</v>
      </c>
      <c r="Q90" s="38" t="s">
        <v>238</v>
      </c>
    </row>
    <row r="91" spans="3:17" x14ac:dyDescent="0.3">
      <c r="C91" s="37" t="s">
        <v>579</v>
      </c>
      <c r="Q91" s="38" t="s">
        <v>239</v>
      </c>
    </row>
    <row r="92" spans="3:17" x14ac:dyDescent="0.3">
      <c r="C92" s="37" t="s">
        <v>580</v>
      </c>
      <c r="Q92" s="38" t="s">
        <v>240</v>
      </c>
    </row>
    <row r="93" spans="3:17" x14ac:dyDescent="0.3">
      <c r="C93" s="37" t="s">
        <v>581</v>
      </c>
      <c r="Q93" s="38" t="s">
        <v>304</v>
      </c>
    </row>
    <row r="94" spans="3:17" x14ac:dyDescent="0.3">
      <c r="C94" s="37" t="s">
        <v>582</v>
      </c>
      <c r="Q94" s="38" t="s">
        <v>197</v>
      </c>
    </row>
    <row r="95" spans="3:17" x14ac:dyDescent="0.3">
      <c r="C95" s="37" t="s">
        <v>583</v>
      </c>
      <c r="Q95" s="38" t="s">
        <v>305</v>
      </c>
    </row>
    <row r="96" spans="3:17" x14ac:dyDescent="0.3">
      <c r="C96" s="37" t="s">
        <v>584</v>
      </c>
      <c r="Q96" s="38" t="s">
        <v>241</v>
      </c>
    </row>
    <row r="97" spans="3:17" x14ac:dyDescent="0.3">
      <c r="C97" s="37" t="s">
        <v>585</v>
      </c>
      <c r="Q97" s="38" t="s">
        <v>306</v>
      </c>
    </row>
    <row r="98" spans="3:17" x14ac:dyDescent="0.3">
      <c r="C98" s="37" t="s">
        <v>586</v>
      </c>
      <c r="Q98" s="38" t="s">
        <v>307</v>
      </c>
    </row>
    <row r="99" spans="3:17" x14ac:dyDescent="0.3">
      <c r="C99" s="37" t="s">
        <v>587</v>
      </c>
      <c r="Q99" s="38" t="s">
        <v>198</v>
      </c>
    </row>
    <row r="100" spans="3:17" x14ac:dyDescent="0.3">
      <c r="C100" s="37" t="s">
        <v>588</v>
      </c>
      <c r="Q100" s="38" t="s">
        <v>308</v>
      </c>
    </row>
    <row r="101" spans="3:17" x14ac:dyDescent="0.3">
      <c r="C101" s="37" t="s">
        <v>589</v>
      </c>
      <c r="Q101" s="38" t="s">
        <v>309</v>
      </c>
    </row>
    <row r="102" spans="3:17" x14ac:dyDescent="0.3">
      <c r="C102" s="37" t="s">
        <v>590</v>
      </c>
      <c r="Q102" s="38" t="s">
        <v>310</v>
      </c>
    </row>
    <row r="103" spans="3:17" x14ac:dyDescent="0.3">
      <c r="C103" s="37" t="s">
        <v>591</v>
      </c>
      <c r="Q103" s="38" t="s">
        <v>311</v>
      </c>
    </row>
    <row r="104" spans="3:17" x14ac:dyDescent="0.3">
      <c r="C104" s="37" t="s">
        <v>592</v>
      </c>
      <c r="Q104" s="38" t="s">
        <v>312</v>
      </c>
    </row>
    <row r="105" spans="3:17" x14ac:dyDescent="0.3">
      <c r="C105" s="37" t="s">
        <v>593</v>
      </c>
      <c r="Q105" s="38" t="s">
        <v>243</v>
      </c>
    </row>
    <row r="106" spans="3:17" x14ac:dyDescent="0.3">
      <c r="C106" s="37" t="s">
        <v>594</v>
      </c>
      <c r="Q106" s="38" t="s">
        <v>244</v>
      </c>
    </row>
    <row r="107" spans="3:17" x14ac:dyDescent="0.3">
      <c r="C107" s="37" t="s">
        <v>595</v>
      </c>
      <c r="Q107" s="38" t="s">
        <v>245</v>
      </c>
    </row>
    <row r="108" spans="3:17" x14ac:dyDescent="0.3">
      <c r="C108" s="37" t="s">
        <v>596</v>
      </c>
      <c r="Q108" s="38" t="s">
        <v>313</v>
      </c>
    </row>
    <row r="109" spans="3:17" x14ac:dyDescent="0.3">
      <c r="C109" s="37" t="s">
        <v>597</v>
      </c>
    </row>
    <row r="110" spans="3:17" x14ac:dyDescent="0.3">
      <c r="C110" s="37" t="s">
        <v>598</v>
      </c>
    </row>
    <row r="111" spans="3:17" x14ac:dyDescent="0.3">
      <c r="C111" s="37" t="s">
        <v>599</v>
      </c>
    </row>
    <row r="112" spans="3:17" x14ac:dyDescent="0.3">
      <c r="C112" s="37" t="s">
        <v>600</v>
      </c>
    </row>
    <row r="113" spans="3:3" x14ac:dyDescent="0.3">
      <c r="C113" s="37" t="s">
        <v>601</v>
      </c>
    </row>
    <row r="114" spans="3:3" x14ac:dyDescent="0.3">
      <c r="C114" s="37" t="s">
        <v>602</v>
      </c>
    </row>
    <row r="115" spans="3:3" x14ac:dyDescent="0.3">
      <c r="C115" s="37" t="s">
        <v>603</v>
      </c>
    </row>
    <row r="116" spans="3:3" x14ac:dyDescent="0.3">
      <c r="C116" s="37" t="s">
        <v>604</v>
      </c>
    </row>
    <row r="117" spans="3:3" x14ac:dyDescent="0.3">
      <c r="C117" s="37" t="s">
        <v>605</v>
      </c>
    </row>
    <row r="118" spans="3:3" x14ac:dyDescent="0.3">
      <c r="C118" s="37" t="s">
        <v>606</v>
      </c>
    </row>
    <row r="119" spans="3:3" x14ac:dyDescent="0.3">
      <c r="C119" s="37" t="s">
        <v>607</v>
      </c>
    </row>
    <row r="120" spans="3:3" x14ac:dyDescent="0.3">
      <c r="C120" s="37" t="s">
        <v>608</v>
      </c>
    </row>
    <row r="121" spans="3:3" x14ac:dyDescent="0.3">
      <c r="C121" s="37" t="s">
        <v>609</v>
      </c>
    </row>
    <row r="122" spans="3:3" x14ac:dyDescent="0.3">
      <c r="C122" s="37" t="s">
        <v>610</v>
      </c>
    </row>
    <row r="123" spans="3:3" x14ac:dyDescent="0.3">
      <c r="C123" s="37" t="s">
        <v>611</v>
      </c>
    </row>
    <row r="124" spans="3:3" x14ac:dyDescent="0.3">
      <c r="C124" s="37" t="s">
        <v>612</v>
      </c>
    </row>
    <row r="125" spans="3:3" x14ac:dyDescent="0.3">
      <c r="C125" s="37" t="s">
        <v>613</v>
      </c>
    </row>
    <row r="126" spans="3:3" x14ac:dyDescent="0.3">
      <c r="C126" s="37" t="s">
        <v>614</v>
      </c>
    </row>
    <row r="127" spans="3:3" x14ac:dyDescent="0.3">
      <c r="C127" s="37" t="s">
        <v>615</v>
      </c>
    </row>
    <row r="128" spans="3:3" x14ac:dyDescent="0.3">
      <c r="C128" s="37" t="s">
        <v>616</v>
      </c>
    </row>
    <row r="129" spans="3:3" x14ac:dyDescent="0.3">
      <c r="C129" s="37" t="s">
        <v>617</v>
      </c>
    </row>
    <row r="130" spans="3:3" x14ac:dyDescent="0.3">
      <c r="C130" s="37" t="s">
        <v>618</v>
      </c>
    </row>
    <row r="131" spans="3:3" x14ac:dyDescent="0.3">
      <c r="C131" s="37" t="s">
        <v>619</v>
      </c>
    </row>
    <row r="132" spans="3:3" x14ac:dyDescent="0.3">
      <c r="C132" s="37" t="s">
        <v>620</v>
      </c>
    </row>
    <row r="133" spans="3:3" x14ac:dyDescent="0.3">
      <c r="C133" s="37" t="s">
        <v>621</v>
      </c>
    </row>
    <row r="134" spans="3:3" x14ac:dyDescent="0.3">
      <c r="C134" s="37" t="s">
        <v>622</v>
      </c>
    </row>
    <row r="135" spans="3:3" x14ac:dyDescent="0.3">
      <c r="C135" s="37" t="s">
        <v>623</v>
      </c>
    </row>
    <row r="136" spans="3:3" x14ac:dyDescent="0.3">
      <c r="C136" s="37" t="s">
        <v>624</v>
      </c>
    </row>
    <row r="137" spans="3:3" x14ac:dyDescent="0.3">
      <c r="C137" s="37" t="s">
        <v>625</v>
      </c>
    </row>
    <row r="138" spans="3:3" x14ac:dyDescent="0.3">
      <c r="C138" s="37" t="s">
        <v>626</v>
      </c>
    </row>
    <row r="139" spans="3:3" x14ac:dyDescent="0.3">
      <c r="C139" s="37" t="s">
        <v>627</v>
      </c>
    </row>
    <row r="140" spans="3:3" x14ac:dyDescent="0.3">
      <c r="C140" s="37" t="s">
        <v>628</v>
      </c>
    </row>
    <row r="141" spans="3:3" x14ac:dyDescent="0.3">
      <c r="C141" s="37" t="s">
        <v>629</v>
      </c>
    </row>
    <row r="142" spans="3:3" x14ac:dyDescent="0.3">
      <c r="C142" s="37" t="s">
        <v>630</v>
      </c>
    </row>
    <row r="143" spans="3:3" x14ac:dyDescent="0.3">
      <c r="C143" s="37" t="s">
        <v>631</v>
      </c>
    </row>
    <row r="144" spans="3:3" x14ac:dyDescent="0.3">
      <c r="C144" s="37" t="s">
        <v>632</v>
      </c>
    </row>
    <row r="145" spans="3:3" x14ac:dyDescent="0.3">
      <c r="C145" s="37" t="s">
        <v>633</v>
      </c>
    </row>
    <row r="146" spans="3:3" x14ac:dyDescent="0.3">
      <c r="C146" s="37" t="s">
        <v>634</v>
      </c>
    </row>
    <row r="147" spans="3:3" x14ac:dyDescent="0.3">
      <c r="C147" s="37" t="s">
        <v>635</v>
      </c>
    </row>
    <row r="148" spans="3:3" x14ac:dyDescent="0.3">
      <c r="C148" s="37" t="s">
        <v>636</v>
      </c>
    </row>
    <row r="149" spans="3:3" x14ac:dyDescent="0.3">
      <c r="C149" s="37" t="s">
        <v>637</v>
      </c>
    </row>
    <row r="150" spans="3:3" x14ac:dyDescent="0.3">
      <c r="C150" s="37" t="s">
        <v>638</v>
      </c>
    </row>
    <row r="151" spans="3:3" x14ac:dyDescent="0.3">
      <c r="C151" s="37" t="s">
        <v>639</v>
      </c>
    </row>
    <row r="152" spans="3:3" x14ac:dyDescent="0.3">
      <c r="C152" s="37" t="s">
        <v>640</v>
      </c>
    </row>
    <row r="153" spans="3:3" x14ac:dyDescent="0.3">
      <c r="C153" s="37" t="s">
        <v>641</v>
      </c>
    </row>
    <row r="154" spans="3:3" x14ac:dyDescent="0.3">
      <c r="C154" s="37" t="s">
        <v>642</v>
      </c>
    </row>
    <row r="155" spans="3:3" x14ac:dyDescent="0.3">
      <c r="C155" s="37" t="s">
        <v>643</v>
      </c>
    </row>
    <row r="156" spans="3:3" x14ac:dyDescent="0.3">
      <c r="C156" s="37" t="s">
        <v>644</v>
      </c>
    </row>
    <row r="157" spans="3:3" x14ac:dyDescent="0.3">
      <c r="C157" s="37" t="s">
        <v>645</v>
      </c>
    </row>
    <row r="158" spans="3:3" x14ac:dyDescent="0.3">
      <c r="C158" s="37" t="s">
        <v>646</v>
      </c>
    </row>
    <row r="159" spans="3:3" x14ac:dyDescent="0.3">
      <c r="C159" s="37" t="s">
        <v>647</v>
      </c>
    </row>
    <row r="160" spans="3:3" x14ac:dyDescent="0.3">
      <c r="C160" s="37" t="s">
        <v>648</v>
      </c>
    </row>
    <row r="161" spans="3:3" x14ac:dyDescent="0.3">
      <c r="C161" s="37" t="s">
        <v>649</v>
      </c>
    </row>
    <row r="162" spans="3:3" x14ac:dyDescent="0.3">
      <c r="C162" s="37" t="s">
        <v>650</v>
      </c>
    </row>
    <row r="163" spans="3:3" x14ac:dyDescent="0.3">
      <c r="C163" s="37" t="s">
        <v>651</v>
      </c>
    </row>
    <row r="164" spans="3:3" x14ac:dyDescent="0.3">
      <c r="C164" s="37" t="s">
        <v>652</v>
      </c>
    </row>
    <row r="165" spans="3:3" x14ac:dyDescent="0.3">
      <c r="C165" s="37" t="s">
        <v>653</v>
      </c>
    </row>
    <row r="166" spans="3:3" x14ac:dyDescent="0.3">
      <c r="C166" s="37" t="s">
        <v>654</v>
      </c>
    </row>
    <row r="167" spans="3:3" x14ac:dyDescent="0.3">
      <c r="C167" s="37" t="s">
        <v>655</v>
      </c>
    </row>
    <row r="168" spans="3:3" x14ac:dyDescent="0.3">
      <c r="C168" s="37" t="s">
        <v>656</v>
      </c>
    </row>
    <row r="169" spans="3:3" x14ac:dyDescent="0.3">
      <c r="C169" s="37" t="s">
        <v>657</v>
      </c>
    </row>
    <row r="170" spans="3:3" x14ac:dyDescent="0.3">
      <c r="C170" s="37" t="s">
        <v>658</v>
      </c>
    </row>
    <row r="171" spans="3:3" x14ac:dyDescent="0.3">
      <c r="C171" s="37" t="s">
        <v>659</v>
      </c>
    </row>
    <row r="172" spans="3:3" x14ac:dyDescent="0.3">
      <c r="C172" s="37" t="s">
        <v>660</v>
      </c>
    </row>
    <row r="173" spans="3:3" x14ac:dyDescent="0.3">
      <c r="C173" s="37" t="s">
        <v>661</v>
      </c>
    </row>
    <row r="174" spans="3:3" x14ac:dyDescent="0.3">
      <c r="C174" s="37" t="s">
        <v>662</v>
      </c>
    </row>
    <row r="175" spans="3:3" x14ac:dyDescent="0.3">
      <c r="C175" s="37" t="s">
        <v>663</v>
      </c>
    </row>
    <row r="176" spans="3:3" x14ac:dyDescent="0.3">
      <c r="C176" s="37" t="s">
        <v>664</v>
      </c>
    </row>
    <row r="177" spans="3:3" x14ac:dyDescent="0.3">
      <c r="C177" s="37" t="s">
        <v>665</v>
      </c>
    </row>
    <row r="178" spans="3:3" x14ac:dyDescent="0.3">
      <c r="C178" s="37" t="s">
        <v>666</v>
      </c>
    </row>
    <row r="179" spans="3:3" x14ac:dyDescent="0.3">
      <c r="C179" s="37" t="s">
        <v>667</v>
      </c>
    </row>
    <row r="180" spans="3:3" x14ac:dyDescent="0.3">
      <c r="C180" s="37" t="s">
        <v>668</v>
      </c>
    </row>
    <row r="181" spans="3:3" x14ac:dyDescent="0.3">
      <c r="C181" s="37" t="s">
        <v>669</v>
      </c>
    </row>
    <row r="182" spans="3:3" x14ac:dyDescent="0.3">
      <c r="C182" s="37" t="s">
        <v>670</v>
      </c>
    </row>
    <row r="183" spans="3:3" x14ac:dyDescent="0.3">
      <c r="C183" s="37" t="s">
        <v>671</v>
      </c>
    </row>
    <row r="184" spans="3:3" x14ac:dyDescent="0.3">
      <c r="C184" s="37" t="s">
        <v>672</v>
      </c>
    </row>
    <row r="185" spans="3:3" x14ac:dyDescent="0.3">
      <c r="C185" s="37" t="s">
        <v>673</v>
      </c>
    </row>
    <row r="186" spans="3:3" x14ac:dyDescent="0.3">
      <c r="C186" s="37" t="s">
        <v>674</v>
      </c>
    </row>
    <row r="187" spans="3:3" x14ac:dyDescent="0.3">
      <c r="C187" s="37" t="s">
        <v>675</v>
      </c>
    </row>
    <row r="188" spans="3:3" x14ac:dyDescent="0.3">
      <c r="C188" s="37" t="s">
        <v>676</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2"/>
  <sheetViews>
    <sheetView workbookViewId="0"/>
  </sheetViews>
  <sheetFormatPr defaultRowHeight="14.4" x14ac:dyDescent="0.3"/>
  <cols>
    <col min="1" max="1" width="7.88671875" bestFit="1" customWidth="1"/>
    <col min="2" max="2" width="13.33203125" bestFit="1" customWidth="1"/>
    <col min="3" max="3" width="11.44140625" bestFit="1" customWidth="1"/>
    <col min="4" max="4" width="10.44140625" bestFit="1" customWidth="1"/>
    <col min="5" max="5" width="12.88671875" bestFit="1" customWidth="1"/>
  </cols>
  <sheetData>
    <row r="1" spans="1:5" ht="43.8" thickBot="1" x14ac:dyDescent="0.35">
      <c r="A1" s="71" t="s">
        <v>326</v>
      </c>
      <c r="B1" s="72" t="s">
        <v>327</v>
      </c>
      <c r="C1" s="73" t="s">
        <v>328</v>
      </c>
      <c r="D1" s="74" t="s">
        <v>329</v>
      </c>
      <c r="E1" s="74" t="s">
        <v>330</v>
      </c>
    </row>
    <row r="2" spans="1:5" ht="15" thickTop="1" x14ac:dyDescent="0.3">
      <c r="A2" s="75">
        <v>19.5</v>
      </c>
      <c r="B2" s="76">
        <v>0.11</v>
      </c>
      <c r="C2" s="77">
        <v>9.0299999999999994</v>
      </c>
      <c r="D2" s="78">
        <v>2.19</v>
      </c>
      <c r="E2" s="79">
        <v>1.234</v>
      </c>
    </row>
    <row r="3" spans="1:5" x14ac:dyDescent="0.3">
      <c r="A3" s="80">
        <v>20.5</v>
      </c>
      <c r="B3" s="81">
        <v>0.11</v>
      </c>
      <c r="C3" s="82">
        <v>9.06</v>
      </c>
      <c r="D3" s="83">
        <v>2.2989999999999999</v>
      </c>
      <c r="E3" s="84">
        <v>1.3480000000000001</v>
      </c>
    </row>
    <row r="4" spans="1:5" x14ac:dyDescent="0.3">
      <c r="A4" s="85">
        <v>21.5</v>
      </c>
      <c r="B4" s="86">
        <v>0.12</v>
      </c>
      <c r="C4" s="87">
        <v>9.1</v>
      </c>
      <c r="D4" s="88">
        <v>2.4079999999999999</v>
      </c>
      <c r="E4" s="89">
        <v>1.4610000000000001</v>
      </c>
    </row>
    <row r="5" spans="1:5" x14ac:dyDescent="0.3">
      <c r="A5" s="80">
        <v>22.5</v>
      </c>
      <c r="B5" s="81">
        <v>0.13</v>
      </c>
      <c r="C5" s="82">
        <v>9.14</v>
      </c>
      <c r="D5" s="83">
        <v>2.5179999999999998</v>
      </c>
      <c r="E5" s="84">
        <v>1.575</v>
      </c>
    </row>
    <row r="6" spans="1:5" x14ac:dyDescent="0.3">
      <c r="A6" s="85">
        <v>23.5</v>
      </c>
      <c r="B6" s="86">
        <v>0.13</v>
      </c>
      <c r="C6" s="87">
        <v>9.18</v>
      </c>
      <c r="D6" s="88">
        <v>2.6269999999999998</v>
      </c>
      <c r="E6" s="89">
        <v>1.6879999999999999</v>
      </c>
    </row>
    <row r="7" spans="1:5" x14ac:dyDescent="0.3">
      <c r="A7" s="80">
        <v>24.5</v>
      </c>
      <c r="B7" s="81">
        <v>0.14000000000000001</v>
      </c>
      <c r="C7" s="82">
        <v>9.2200000000000006</v>
      </c>
      <c r="D7" s="83">
        <v>2.7370000000000001</v>
      </c>
      <c r="E7" s="84">
        <v>1.802</v>
      </c>
    </row>
    <row r="8" spans="1:5" x14ac:dyDescent="0.3">
      <c r="A8" s="85">
        <v>25.5</v>
      </c>
      <c r="B8" s="86">
        <v>0.14000000000000001</v>
      </c>
      <c r="C8" s="87">
        <v>9.26</v>
      </c>
      <c r="D8" s="88">
        <v>2.8460000000000001</v>
      </c>
      <c r="E8" s="89">
        <v>1.915</v>
      </c>
    </row>
    <row r="9" spans="1:5" x14ac:dyDescent="0.3">
      <c r="A9" s="80">
        <v>26.5</v>
      </c>
      <c r="B9" s="81">
        <v>0.15</v>
      </c>
      <c r="C9" s="82">
        <v>9.3000000000000007</v>
      </c>
      <c r="D9" s="83">
        <v>2.956</v>
      </c>
      <c r="E9" s="84">
        <v>2.0289999999999999</v>
      </c>
    </row>
    <row r="10" spans="1:5" x14ac:dyDescent="0.3">
      <c r="A10" s="85">
        <v>27.5</v>
      </c>
      <c r="B10" s="86">
        <v>0.15</v>
      </c>
      <c r="C10" s="87">
        <v>9.34</v>
      </c>
      <c r="D10" s="88">
        <v>3.0649999999999999</v>
      </c>
      <c r="E10" s="89">
        <v>2.1419999999999999</v>
      </c>
    </row>
    <row r="11" spans="1:5" x14ac:dyDescent="0.3">
      <c r="A11" s="80">
        <v>28.5</v>
      </c>
      <c r="B11" s="81">
        <v>0.16</v>
      </c>
      <c r="C11" s="82">
        <v>9.3800000000000008</v>
      </c>
      <c r="D11" s="83">
        <v>3.1749999999999998</v>
      </c>
      <c r="E11" s="84">
        <v>2.2549999999999999</v>
      </c>
    </row>
    <row r="12" spans="1:5" x14ac:dyDescent="0.3">
      <c r="A12" s="85">
        <v>29.5</v>
      </c>
      <c r="B12" s="86">
        <v>0.16</v>
      </c>
      <c r="C12" s="87">
        <v>9.42</v>
      </c>
      <c r="D12" s="88">
        <v>3.2839999999999998</v>
      </c>
      <c r="E12" s="89">
        <v>2.3690000000000002</v>
      </c>
    </row>
    <row r="13" spans="1:5" x14ac:dyDescent="0.3">
      <c r="A13" s="80">
        <v>30.5</v>
      </c>
      <c r="B13" s="81">
        <v>0.17</v>
      </c>
      <c r="C13" s="82">
        <v>9.4600000000000009</v>
      </c>
      <c r="D13" s="83">
        <v>3.3940000000000001</v>
      </c>
      <c r="E13" s="84">
        <v>2.4820000000000002</v>
      </c>
    </row>
    <row r="14" spans="1:5" x14ac:dyDescent="0.3">
      <c r="A14" s="85">
        <v>31.5</v>
      </c>
      <c r="B14" s="86">
        <v>0.18</v>
      </c>
      <c r="C14" s="87">
        <v>9.5</v>
      </c>
      <c r="D14" s="88">
        <v>3.5030000000000001</v>
      </c>
      <c r="E14" s="89">
        <v>2.5960000000000001</v>
      </c>
    </row>
    <row r="15" spans="1:5" x14ac:dyDescent="0.3">
      <c r="A15" s="80">
        <v>32.5</v>
      </c>
      <c r="B15" s="81">
        <v>0.18</v>
      </c>
      <c r="C15" s="82">
        <v>9.5399999999999991</v>
      </c>
      <c r="D15" s="83">
        <v>3.613</v>
      </c>
      <c r="E15" s="84">
        <v>2.7090000000000001</v>
      </c>
    </row>
    <row r="16" spans="1:5" x14ac:dyDescent="0.3">
      <c r="A16" s="85">
        <v>33.5</v>
      </c>
      <c r="B16" s="86">
        <v>0.19</v>
      </c>
      <c r="C16" s="87">
        <v>9.58</v>
      </c>
      <c r="D16" s="88">
        <v>3.722</v>
      </c>
      <c r="E16" s="89">
        <v>2.823</v>
      </c>
    </row>
    <row r="17" spans="1:5" x14ac:dyDescent="0.3">
      <c r="A17" s="80">
        <v>34.5</v>
      </c>
      <c r="B17" s="81">
        <v>0.19</v>
      </c>
      <c r="C17" s="82">
        <v>9.6199999999999992</v>
      </c>
      <c r="D17" s="83">
        <v>3.8319999999999999</v>
      </c>
      <c r="E17" s="84">
        <v>2.9359999999999999</v>
      </c>
    </row>
    <row r="18" spans="1:5" x14ac:dyDescent="0.3">
      <c r="A18" s="85">
        <v>35.5</v>
      </c>
      <c r="B18" s="86">
        <v>0.2</v>
      </c>
      <c r="C18" s="87">
        <v>9.67</v>
      </c>
      <c r="D18" s="88">
        <v>3.9409999999999998</v>
      </c>
      <c r="E18" s="89">
        <v>3.0489999999999999</v>
      </c>
    </row>
    <row r="19" spans="1:5" x14ac:dyDescent="0.3">
      <c r="A19" s="80">
        <v>36.5</v>
      </c>
      <c r="B19" s="81">
        <v>0.2</v>
      </c>
      <c r="C19" s="82">
        <v>9.7100000000000009</v>
      </c>
      <c r="D19" s="83">
        <v>4.0510000000000002</v>
      </c>
      <c r="E19" s="84">
        <v>3.1629999999999998</v>
      </c>
    </row>
    <row r="20" spans="1:5" x14ac:dyDescent="0.3">
      <c r="A20" s="85">
        <v>37.5</v>
      </c>
      <c r="B20" s="86">
        <v>0.21</v>
      </c>
      <c r="C20" s="87">
        <v>9.75</v>
      </c>
      <c r="D20" s="88">
        <v>4.16</v>
      </c>
      <c r="E20" s="89">
        <v>3.2759999999999998</v>
      </c>
    </row>
    <row r="21" spans="1:5" x14ac:dyDescent="0.3">
      <c r="A21" s="80">
        <v>38.5</v>
      </c>
      <c r="B21" s="81">
        <v>0.21</v>
      </c>
      <c r="C21" s="82">
        <v>9.8000000000000007</v>
      </c>
      <c r="D21" s="83">
        <v>4.2699999999999996</v>
      </c>
      <c r="E21" s="84">
        <v>3.39</v>
      </c>
    </row>
    <row r="22" spans="1:5" x14ac:dyDescent="0.3">
      <c r="A22" s="85">
        <v>39.5</v>
      </c>
      <c r="B22" s="86">
        <v>0.22</v>
      </c>
      <c r="C22" s="87">
        <v>9.84</v>
      </c>
      <c r="D22" s="88">
        <v>4.3789999999999996</v>
      </c>
      <c r="E22" s="89">
        <v>3.5030000000000001</v>
      </c>
    </row>
    <row r="23" spans="1:5" x14ac:dyDescent="0.3">
      <c r="A23" s="80">
        <v>40.5</v>
      </c>
      <c r="B23" s="81">
        <v>0.22</v>
      </c>
      <c r="C23" s="82">
        <v>9.89</v>
      </c>
      <c r="D23" s="83">
        <v>4.4880000000000004</v>
      </c>
      <c r="E23" s="84">
        <v>3.617</v>
      </c>
    </row>
    <row r="24" spans="1:5" x14ac:dyDescent="0.3">
      <c r="A24" s="85">
        <v>41.5</v>
      </c>
      <c r="B24" s="86">
        <v>0.23</v>
      </c>
      <c r="C24" s="87">
        <v>9.93</v>
      </c>
      <c r="D24" s="88">
        <v>4.5979999999999999</v>
      </c>
      <c r="E24" s="89">
        <v>3.73</v>
      </c>
    </row>
    <row r="25" spans="1:5" x14ac:dyDescent="0.3">
      <c r="A25" s="80">
        <v>42.5</v>
      </c>
      <c r="B25" s="81">
        <v>0.24</v>
      </c>
      <c r="C25" s="82">
        <v>9.98</v>
      </c>
      <c r="D25" s="83">
        <v>4.7069999999999999</v>
      </c>
      <c r="E25" s="84">
        <v>3.8439999999999999</v>
      </c>
    </row>
    <row r="26" spans="1:5" x14ac:dyDescent="0.3">
      <c r="A26" s="85">
        <v>43.5</v>
      </c>
      <c r="B26" s="86">
        <v>0.24</v>
      </c>
      <c r="C26" s="87">
        <v>10.02</v>
      </c>
      <c r="D26" s="88">
        <v>4.8170000000000002</v>
      </c>
      <c r="E26" s="89">
        <v>3.9569999999999999</v>
      </c>
    </row>
    <row r="27" spans="1:5" x14ac:dyDescent="0.3">
      <c r="A27" s="80">
        <v>44.5</v>
      </c>
      <c r="B27" s="81">
        <v>0.25</v>
      </c>
      <c r="C27" s="82">
        <v>10.07</v>
      </c>
      <c r="D27" s="83">
        <v>4.9260000000000002</v>
      </c>
      <c r="E27" s="84">
        <v>4.07</v>
      </c>
    </row>
    <row r="28" spans="1:5" x14ac:dyDescent="0.3">
      <c r="A28" s="85">
        <v>45.5</v>
      </c>
      <c r="B28" s="86">
        <v>0.25</v>
      </c>
      <c r="C28" s="87">
        <v>10.119999999999999</v>
      </c>
      <c r="D28" s="88">
        <v>5.0359999999999996</v>
      </c>
      <c r="E28" s="89">
        <v>4.1840000000000002</v>
      </c>
    </row>
    <row r="29" spans="1:5" x14ac:dyDescent="0.3">
      <c r="A29" s="80">
        <v>46.5</v>
      </c>
      <c r="B29" s="81">
        <v>0.26</v>
      </c>
      <c r="C29" s="82">
        <v>10.16</v>
      </c>
      <c r="D29" s="83">
        <v>5.1449999999999996</v>
      </c>
      <c r="E29" s="84">
        <v>4.2969999999999997</v>
      </c>
    </row>
    <row r="30" spans="1:5" x14ac:dyDescent="0.3">
      <c r="A30" s="85">
        <v>47.5</v>
      </c>
      <c r="B30" s="86">
        <v>0.26</v>
      </c>
      <c r="C30" s="87">
        <v>10.210000000000001</v>
      </c>
      <c r="D30" s="88">
        <v>5.2549999999999999</v>
      </c>
      <c r="E30" s="89">
        <v>4.4109999999999996</v>
      </c>
    </row>
    <row r="31" spans="1:5" x14ac:dyDescent="0.3">
      <c r="A31" s="80">
        <v>48.5</v>
      </c>
      <c r="B31" s="81">
        <v>0.27</v>
      </c>
      <c r="C31" s="82">
        <v>10.26</v>
      </c>
      <c r="D31" s="83">
        <v>5.3639999999999999</v>
      </c>
      <c r="E31" s="84">
        <v>4.524</v>
      </c>
    </row>
    <row r="32" spans="1:5" x14ac:dyDescent="0.3">
      <c r="A32" s="85">
        <v>49.5</v>
      </c>
      <c r="B32" s="86">
        <v>0.27</v>
      </c>
      <c r="C32" s="87">
        <v>10.31</v>
      </c>
      <c r="D32" s="88">
        <v>5.4740000000000002</v>
      </c>
      <c r="E32" s="89">
        <v>4.6379999999999999</v>
      </c>
    </row>
    <row r="33" spans="1:5" x14ac:dyDescent="0.3">
      <c r="A33" s="80">
        <v>50.5</v>
      </c>
      <c r="B33" s="81">
        <v>0.28000000000000003</v>
      </c>
      <c r="C33" s="82">
        <v>10.36</v>
      </c>
      <c r="D33" s="83">
        <v>5.5830000000000002</v>
      </c>
      <c r="E33" s="84">
        <v>4.7510000000000003</v>
      </c>
    </row>
    <row r="34" spans="1:5" x14ac:dyDescent="0.3">
      <c r="A34" s="85">
        <v>51.5</v>
      </c>
      <c r="B34" s="86">
        <v>0.28000000000000003</v>
      </c>
      <c r="C34" s="87">
        <v>10.41</v>
      </c>
      <c r="D34" s="88">
        <v>5.6929999999999996</v>
      </c>
      <c r="E34" s="89">
        <v>4.8650000000000002</v>
      </c>
    </row>
    <row r="35" spans="1:5" x14ac:dyDescent="0.3">
      <c r="A35" s="80">
        <v>52.5</v>
      </c>
      <c r="B35" s="81">
        <v>0.28999999999999998</v>
      </c>
      <c r="C35" s="82">
        <v>10.46</v>
      </c>
      <c r="D35" s="83">
        <v>5.8019999999999996</v>
      </c>
      <c r="E35" s="84">
        <v>4.9779999999999998</v>
      </c>
    </row>
    <row r="36" spans="1:5" x14ac:dyDescent="0.3">
      <c r="A36" s="85">
        <v>53.5</v>
      </c>
      <c r="B36" s="86">
        <v>0.3</v>
      </c>
      <c r="C36" s="87">
        <v>10.51</v>
      </c>
      <c r="D36" s="88">
        <v>5.9119999999999999</v>
      </c>
      <c r="E36" s="89">
        <v>5.0910000000000002</v>
      </c>
    </row>
    <row r="37" spans="1:5" x14ac:dyDescent="0.3">
      <c r="A37" s="80">
        <v>54.5</v>
      </c>
      <c r="B37" s="81">
        <v>0.3</v>
      </c>
      <c r="C37" s="82">
        <v>10.56</v>
      </c>
      <c r="D37" s="83">
        <v>6.0209999999999999</v>
      </c>
      <c r="E37" s="84">
        <v>5.2050000000000001</v>
      </c>
    </row>
    <row r="38" spans="1:5" x14ac:dyDescent="0.3">
      <c r="A38" s="85">
        <v>55.5</v>
      </c>
      <c r="B38" s="86">
        <v>0.31</v>
      </c>
      <c r="C38" s="87">
        <v>10.61</v>
      </c>
      <c r="D38" s="88">
        <v>6.1310000000000002</v>
      </c>
      <c r="E38" s="89">
        <v>5.3179999999999996</v>
      </c>
    </row>
    <row r="39" spans="1:5" x14ac:dyDescent="0.3">
      <c r="A39" s="80">
        <v>56.5</v>
      </c>
      <c r="B39" s="81">
        <v>0.31</v>
      </c>
      <c r="C39" s="82">
        <v>10.66</v>
      </c>
      <c r="D39" s="83">
        <v>6.24</v>
      </c>
      <c r="E39" s="84">
        <v>5.4320000000000004</v>
      </c>
    </row>
    <row r="40" spans="1:5" x14ac:dyDescent="0.3">
      <c r="A40" s="85">
        <v>57.5</v>
      </c>
      <c r="B40" s="86">
        <v>0.32</v>
      </c>
      <c r="C40" s="87">
        <v>10.72</v>
      </c>
      <c r="D40" s="88">
        <v>6.35</v>
      </c>
      <c r="E40" s="89">
        <v>5.5449999999999999</v>
      </c>
    </row>
    <row r="41" spans="1:5" x14ac:dyDescent="0.3">
      <c r="A41" s="80">
        <v>58.5</v>
      </c>
      <c r="B41" s="81">
        <v>0.32</v>
      </c>
      <c r="C41" s="82">
        <v>10.77</v>
      </c>
      <c r="D41" s="83">
        <v>6.4589999999999996</v>
      </c>
      <c r="E41" s="84">
        <v>5.6589999999999998</v>
      </c>
    </row>
    <row r="42" spans="1:5" x14ac:dyDescent="0.3">
      <c r="A42" s="85">
        <v>59.5</v>
      </c>
      <c r="B42" s="86">
        <v>0.33</v>
      </c>
      <c r="C42" s="87">
        <v>10.82</v>
      </c>
      <c r="D42" s="88">
        <v>6.569</v>
      </c>
      <c r="E42" s="89">
        <v>5.7720000000000002</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27"/>
  <sheetViews>
    <sheetView showGridLines="0" tabSelected="1" zoomScaleNormal="100" workbookViewId="0">
      <selection activeCell="K21" sqref="K20:K21"/>
    </sheetView>
  </sheetViews>
  <sheetFormatPr defaultColWidth="8.6640625" defaultRowHeight="14.4" x14ac:dyDescent="0.3"/>
  <cols>
    <col min="1" max="6" width="12.5546875" style="6" customWidth="1"/>
    <col min="7" max="7" width="14.109375" style="14" customWidth="1"/>
    <col min="8" max="8" width="14.33203125" style="14" customWidth="1"/>
    <col min="9" max="9" width="14.44140625" style="14" bestFit="1" customWidth="1"/>
    <col min="10" max="10" width="15.88671875" style="14" bestFit="1" customWidth="1"/>
    <col min="11" max="11" width="12.5546875" style="25" customWidth="1"/>
    <col min="14" max="23" width="10.5546875" style="18" customWidth="1"/>
    <col min="24" max="16384" width="8.6640625" style="6"/>
  </cols>
  <sheetData>
    <row r="1" spans="1:11" x14ac:dyDescent="0.3">
      <c r="A1" s="1"/>
      <c r="I1" s="337" t="s">
        <v>685</v>
      </c>
      <c r="J1" s="337"/>
      <c r="K1" s="337"/>
    </row>
    <row r="2" spans="1:11" x14ac:dyDescent="0.3">
      <c r="C2" s="343" t="s">
        <v>87</v>
      </c>
      <c r="D2" s="339"/>
      <c r="E2" s="339"/>
      <c r="F2" s="339"/>
      <c r="G2" s="14" t="s">
        <v>82</v>
      </c>
      <c r="H2" s="345" t="s">
        <v>686</v>
      </c>
      <c r="I2" s="346"/>
      <c r="J2" s="346"/>
      <c r="K2" s="346"/>
    </row>
    <row r="3" spans="1:11" x14ac:dyDescent="0.3">
      <c r="C3" s="343" t="s">
        <v>88</v>
      </c>
      <c r="D3" s="339"/>
      <c r="E3" s="339"/>
      <c r="F3" s="339"/>
      <c r="G3" s="14" t="s">
        <v>83</v>
      </c>
      <c r="H3" s="340" t="s">
        <v>687</v>
      </c>
      <c r="I3" s="341"/>
      <c r="J3" s="341"/>
      <c r="K3" s="341"/>
    </row>
    <row r="4" spans="1:11" x14ac:dyDescent="0.3">
      <c r="C4" s="343" t="s">
        <v>89</v>
      </c>
      <c r="D4" s="339"/>
      <c r="E4" s="339"/>
      <c r="F4" s="339"/>
      <c r="G4" s="14" t="s">
        <v>84</v>
      </c>
      <c r="H4" s="344" t="str">
        <f>HYPERLINK(VLOOKUP(rng_Order,[1]Orders!$A$5:$K$16,6))</f>
        <v>pool@cafmmo.com</v>
      </c>
      <c r="I4" s="341"/>
      <c r="J4" s="341"/>
      <c r="K4" s="341"/>
    </row>
    <row r="5" spans="1:11" x14ac:dyDescent="0.3">
      <c r="C5" s="338" t="str">
        <f>VLOOKUP($C$10,Orders!$A$5:$K$16,3) &amp; " Market Administrator Office"</f>
        <v>California Market Administrator Office</v>
      </c>
      <c r="D5" s="339"/>
      <c r="E5" s="339"/>
      <c r="F5" s="339"/>
      <c r="G5" s="14" t="s">
        <v>85</v>
      </c>
      <c r="H5" s="340" t="s">
        <v>688</v>
      </c>
      <c r="I5" s="341"/>
      <c r="J5" s="341"/>
      <c r="K5" s="341"/>
    </row>
    <row r="6" spans="1:11" x14ac:dyDescent="0.3">
      <c r="C6" s="342" t="str">
        <f>VLOOKUP($C$10,Orders!$A$5:$K$16,2) &amp; " Milk Marketing Area"</f>
        <v>California Milk Marketing Area</v>
      </c>
      <c r="D6" s="339"/>
      <c r="E6" s="339"/>
      <c r="F6" s="339"/>
      <c r="H6" s="340" t="s">
        <v>689</v>
      </c>
      <c r="I6" s="341"/>
      <c r="J6" s="341"/>
      <c r="K6" s="341"/>
    </row>
    <row r="7" spans="1:11" x14ac:dyDescent="0.3">
      <c r="C7" s="342" t="str">
        <f>"Federal Order #: " &amp; TEXT(VLOOKUP(rng_Order,Orders!A5:A16,1),"000")</f>
        <v>Federal Order #: 051</v>
      </c>
      <c r="D7" s="339"/>
      <c r="E7" s="339"/>
      <c r="F7" s="339"/>
      <c r="G7" s="14" t="s">
        <v>86</v>
      </c>
      <c r="H7" s="344" t="str">
        <f>HYPERLINK(VLOOKUP(rng_Order,[1]Orders!$A$5:$K$16,9))</f>
        <v>http://www.cafmmo.com</v>
      </c>
      <c r="I7" s="341"/>
      <c r="J7" s="341"/>
      <c r="K7" s="341"/>
    </row>
    <row r="9" spans="1:11" x14ac:dyDescent="0.3">
      <c r="A9" s="8" t="s">
        <v>90</v>
      </c>
      <c r="B9" s="8" t="s">
        <v>91</v>
      </c>
      <c r="C9" s="8" t="s">
        <v>10</v>
      </c>
      <c r="D9" s="8"/>
      <c r="E9" s="8"/>
      <c r="F9" s="8"/>
      <c r="G9" s="15" t="s">
        <v>92</v>
      </c>
      <c r="H9" s="16" t="str">
        <f>LEFT(RIGHT(rng_Handler,4),3)</f>
        <v/>
      </c>
      <c r="K9" s="17" t="s">
        <v>677</v>
      </c>
    </row>
    <row r="10" spans="1:11" x14ac:dyDescent="0.3">
      <c r="A10" s="297"/>
      <c r="B10" s="298"/>
      <c r="C10" s="19">
        <v>51</v>
      </c>
      <c r="D10" s="20"/>
      <c r="E10" s="21"/>
      <c r="F10" s="22"/>
      <c r="G10" s="350"/>
      <c r="H10" s="351"/>
      <c r="I10" s="351"/>
      <c r="J10" s="351"/>
      <c r="K10" s="23" t="s">
        <v>684</v>
      </c>
    </row>
    <row r="11" spans="1:11" x14ac:dyDescent="0.3">
      <c r="H11" s="24"/>
      <c r="I11" s="24"/>
      <c r="J11" s="24"/>
    </row>
    <row r="12" spans="1:11" x14ac:dyDescent="0.3">
      <c r="A12" s="9" t="s">
        <v>94</v>
      </c>
      <c r="B12" s="9"/>
      <c r="C12" s="9"/>
      <c r="D12" s="9"/>
      <c r="E12" s="9"/>
      <c r="F12" s="9"/>
      <c r="G12" s="26" t="s">
        <v>95</v>
      </c>
      <c r="H12" s="26" t="s">
        <v>96</v>
      </c>
      <c r="I12" s="26" t="s">
        <v>97</v>
      </c>
      <c r="J12" s="26" t="s">
        <v>98</v>
      </c>
      <c r="K12" s="27"/>
    </row>
    <row r="13" spans="1:11" x14ac:dyDescent="0.3">
      <c r="A13" s="6" t="s">
        <v>99</v>
      </c>
      <c r="G13" s="14">
        <f>Receipts!G5</f>
        <v>0</v>
      </c>
      <c r="H13" s="14">
        <f>Receipts!H5</f>
        <v>0</v>
      </c>
      <c r="I13" s="14">
        <f>Receipts!I5</f>
        <v>0</v>
      </c>
      <c r="J13" s="14">
        <f>Receipts!J5</f>
        <v>0</v>
      </c>
      <c r="K13" s="14"/>
    </row>
    <row r="14" spans="1:11" x14ac:dyDescent="0.3">
      <c r="A14" s="6" t="s">
        <v>100</v>
      </c>
      <c r="F14" s="48"/>
      <c r="G14" s="47">
        <f>SUMIF(tbl_Utilization[Product Class],1,tbl_Utilization[Product Pounds])</f>
        <v>0</v>
      </c>
      <c r="H14" s="47">
        <f>SUMIF(tbl_Utilization[Product Class],1,tbl_Utilization[Butterfat 
Pounds])</f>
        <v>0</v>
      </c>
      <c r="I14" s="319">
        <f>SUMIF(tbl_Utilization[Product Class],1,tbl_Utilization[Protein 
Pounds])</f>
        <v>0</v>
      </c>
      <c r="J14" s="319">
        <f>SUMIF(tbl_Utilization[Product Class],1,tbl_Utilization[Other Solid 
Pounds])</f>
        <v>0</v>
      </c>
    </row>
    <row r="15" spans="1:11" x14ac:dyDescent="0.3">
      <c r="A15" s="6" t="s">
        <v>101</v>
      </c>
      <c r="G15" s="47">
        <f>SUMIF(tbl_Utilization[Product Class],2,tbl_Utilization[Product Pounds])</f>
        <v>0</v>
      </c>
      <c r="H15" s="47">
        <f>SUMIF(tbl_Utilization[Product Class],2,tbl_Utilization[Butterfat 
Pounds])</f>
        <v>0</v>
      </c>
      <c r="I15" s="319">
        <f>SUMIF(tbl_Utilization[Product Class],2,tbl_Utilization[Protein 
Pounds])</f>
        <v>0</v>
      </c>
      <c r="J15" s="319">
        <f>SUMIF(tbl_Utilization[Product Class],2,tbl_Utilization[Other Solid 
Pounds])</f>
        <v>0</v>
      </c>
    </row>
    <row r="16" spans="1:11" x14ac:dyDescent="0.3">
      <c r="A16" s="6" t="s">
        <v>102</v>
      </c>
      <c r="G16" s="47">
        <f>SUMIF(tbl_Utilization[Product Class],3,tbl_Utilization[Product Pounds])</f>
        <v>0</v>
      </c>
      <c r="H16" s="47">
        <f>SUMIF(tbl_Utilization[Product Class],3,tbl_Utilization[Butterfat 
Pounds])</f>
        <v>0</v>
      </c>
      <c r="I16" s="319">
        <f>SUMIF(tbl_Utilization[Product Class],3,tbl_Utilization[Protein 
Pounds])</f>
        <v>0</v>
      </c>
      <c r="J16" s="319">
        <f>SUMIF(tbl_Utilization[Product Class],3,tbl_Utilization[Other Solid 
Pounds])</f>
        <v>0</v>
      </c>
    </row>
    <row r="17" spans="1:13" x14ac:dyDescent="0.3">
      <c r="A17" s="6" t="s">
        <v>103</v>
      </c>
      <c r="G17" s="47">
        <f>SUMIF(tbl_Utilization[Product Class],4,tbl_Utilization[Product Pounds])</f>
        <v>0</v>
      </c>
      <c r="H17" s="47">
        <f>SUMIF(tbl_Utilization[Product Class],4,tbl_Utilization[Butterfat 
Pounds])</f>
        <v>0</v>
      </c>
      <c r="I17" s="319">
        <f>SUMIF(tbl_Utilization[Product Class],4,tbl_Utilization[Protein 
Pounds])</f>
        <v>0</v>
      </c>
      <c r="J17" s="319">
        <f>SUMIF(tbl_Utilization[Product Class],4,tbl_Utilization[Other Solid 
Pounds])</f>
        <v>0</v>
      </c>
    </row>
    <row r="18" spans="1:13" x14ac:dyDescent="0.3">
      <c r="A18" s="6" t="s">
        <v>104</v>
      </c>
      <c r="G18" s="14">
        <f>SUMIF(tbl_Utilization[Product Class],"PM",tbl_Utilization[Product Pounds])+SUM(G14:G17)</f>
        <v>0</v>
      </c>
      <c r="H18" s="14">
        <f>SUMIF(tbl_Utilization[Product Class],"PM",tbl_Utilization[Butterfat 
Pounds]) + SUM(H14:H17)</f>
        <v>0</v>
      </c>
      <c r="I18" s="16">
        <f>SUMIF(tbl_Utilization[Product Class],"PM",tbl_Utilization[Protein 
Pounds]) + SUM(I14:I17)</f>
        <v>0</v>
      </c>
      <c r="J18" s="16">
        <f>SUMIF(tbl_Utilization[Product Class],"PM",tbl_Utilization[Other Solid 
Pounds]) + SUM(J14:J17)</f>
        <v>0</v>
      </c>
      <c r="K18" s="14" t="str">
        <f>IF($K$10 &lt;&gt; "9C", IF(SUM(G14:G17)&lt;&gt;G18,  "Product totals don't balance",""), "")</f>
        <v/>
      </c>
      <c r="L18" s="14" t="str">
        <f>IF($K$10 &lt;&gt; "9C", IF(SUM(H14:H17)&lt;&gt;H18,  "Fat totals don't balance",""), "")</f>
        <v/>
      </c>
      <c r="M18" s="60"/>
    </row>
    <row r="19" spans="1:13" x14ac:dyDescent="0.3">
      <c r="A19" s="6" t="s">
        <v>105</v>
      </c>
      <c r="G19" s="14">
        <f>rng_TotalReceiptsPP-rng_TotalUtilzation_PP</f>
        <v>0</v>
      </c>
      <c r="H19" s="14">
        <f>rng_TotalReceipts_FP-rng_TotalUtilization_FP</f>
        <v>0</v>
      </c>
    </row>
    <row r="20" spans="1:13" x14ac:dyDescent="0.3">
      <c r="A20" s="6" t="s">
        <v>106</v>
      </c>
      <c r="G20" s="28">
        <f>IF(rng_TotalReceiptsPP=0,0,(rng_ShrinkOverage_PP/rng_TotalReceiptsPP))</f>
        <v>0</v>
      </c>
      <c r="H20" s="28">
        <f>IF(rng_TotalReceipts_FP=0,0,(rng_ShrinkOverage_FP/rng_TotalReceipts_FP))</f>
        <v>0</v>
      </c>
    </row>
    <row r="22" spans="1:13" ht="34.950000000000003" customHeight="1" x14ac:dyDescent="0.3">
      <c r="A22" s="352" t="s">
        <v>107</v>
      </c>
      <c r="B22" s="336"/>
      <c r="C22" s="336"/>
      <c r="D22" s="336"/>
      <c r="E22" s="336"/>
      <c r="F22" s="336"/>
      <c r="G22" s="336"/>
      <c r="H22" s="336"/>
      <c r="I22" s="336"/>
      <c r="J22" s="336"/>
      <c r="K22" s="336"/>
    </row>
    <row r="23" spans="1:13" ht="34.950000000000003" customHeight="1" x14ac:dyDescent="0.3">
      <c r="A23" s="352" t="s">
        <v>108</v>
      </c>
      <c r="B23" s="336"/>
      <c r="C23" s="336"/>
      <c r="D23" s="336"/>
      <c r="E23" s="336"/>
      <c r="F23" s="336"/>
      <c r="G23" s="336"/>
      <c r="H23" s="336"/>
      <c r="I23" s="336"/>
      <c r="J23" s="336"/>
      <c r="K23" s="336"/>
    </row>
    <row r="24" spans="1:13" x14ac:dyDescent="0.3">
      <c r="A24" s="29"/>
      <c r="B24" s="30"/>
      <c r="C24" s="30"/>
      <c r="D24" s="30"/>
      <c r="E24" s="30"/>
      <c r="F24" s="30"/>
      <c r="G24" s="30"/>
      <c r="H24" s="30"/>
      <c r="I24" s="30"/>
      <c r="J24" s="30"/>
      <c r="K24" s="30"/>
    </row>
    <row r="25" spans="1:13" x14ac:dyDescent="0.3">
      <c r="A25" s="353" t="s">
        <v>109</v>
      </c>
      <c r="B25" s="355"/>
      <c r="C25" s="351"/>
      <c r="D25" s="351"/>
      <c r="E25" s="351"/>
      <c r="F25" s="351"/>
      <c r="G25" s="351"/>
      <c r="H25" s="328"/>
      <c r="I25" s="357"/>
      <c r="J25" s="358"/>
    </row>
    <row r="26" spans="1:13" ht="15" thickBot="1" x14ac:dyDescent="0.35">
      <c r="A26" s="354"/>
      <c r="B26" s="356"/>
      <c r="C26" s="356"/>
      <c r="D26" s="356"/>
      <c r="E26" s="356"/>
      <c r="F26" s="356"/>
      <c r="G26" s="356"/>
      <c r="H26" s="328"/>
      <c r="I26" s="359"/>
      <c r="J26" s="359"/>
    </row>
    <row r="27" spans="1:13" ht="15" thickTop="1" x14ac:dyDescent="0.3">
      <c r="B27" s="347" t="s">
        <v>110</v>
      </c>
      <c r="C27" s="348"/>
      <c r="D27" s="348"/>
      <c r="E27" s="348"/>
      <c r="F27" s="348"/>
      <c r="G27" s="348"/>
      <c r="I27" s="349" t="s">
        <v>111</v>
      </c>
      <c r="J27" s="348"/>
    </row>
  </sheetData>
  <mergeCells count="21">
    <mergeCell ref="C7:F7"/>
    <mergeCell ref="H7:K7"/>
    <mergeCell ref="B27:G27"/>
    <mergeCell ref="I27:J27"/>
    <mergeCell ref="G10:J10"/>
    <mergeCell ref="A22:K22"/>
    <mergeCell ref="A23:K23"/>
    <mergeCell ref="A25:A26"/>
    <mergeCell ref="B25:G26"/>
    <mergeCell ref="I25:J26"/>
    <mergeCell ref="I1:K1"/>
    <mergeCell ref="C5:F5"/>
    <mergeCell ref="H5:K5"/>
    <mergeCell ref="C6:F6"/>
    <mergeCell ref="H6:K6"/>
    <mergeCell ref="C4:F4"/>
    <mergeCell ref="H4:K4"/>
    <mergeCell ref="C2:F2"/>
    <mergeCell ref="H2:K2"/>
    <mergeCell ref="C3:F3"/>
    <mergeCell ref="H3:K3"/>
  </mergeCells>
  <conditionalFormatting sqref="G10:J10">
    <cfRule type="containsBlanks" dxfId="40" priority="1">
      <formula>LEN(TRIM(G10))=0</formula>
    </cfRule>
  </conditionalFormatting>
  <dataValidations count="5">
    <dataValidation type="list" allowBlank="1" showInputMessage="1" showErrorMessage="1" sqref="K10" xr:uid="{00000000-0002-0000-0100-000000000000}">
      <formula1>"DP,9C,SP,PR, NP"</formula1>
    </dataValidation>
    <dataValidation type="list" allowBlank="1" showInputMessage="1" showErrorMessage="1" errorTitle="Order Error" promptTitle="Order Selection" prompt="Select the appropriate Order." sqref="C10" xr:uid="{00000000-0002-0000-0100-000001000000}">
      <formula1>rng_Orders</formula1>
    </dataValidation>
    <dataValidation type="list" allowBlank="1" showInputMessage="1" errorTitle="Missing Handler" error="Handler selecting is not in approved Universal Plant List.  Please notify the appropriate Market Administrator office." promptTitle="Handler" prompt="Select Handler Name and Location." sqref="G10:J10" xr:uid="{00000000-0002-0000-0100-000002000000}">
      <formula1>ddl_HandlerName</formula1>
    </dataValidation>
    <dataValidation type="list" allowBlank="1" showInputMessage="1" showErrorMessage="1" errorTitle="Error Year" error="Improper Year Entry." promptTitle="Year" prompt="Enter Year." sqref="A10" xr:uid="{00000000-0002-0000-0100-000003000000}">
      <formula1>YEAR</formula1>
    </dataValidation>
    <dataValidation type="list" allowBlank="1" showInputMessage="1" showErrorMessage="1" errorTitle="Month" error="Incorrect Month Entry." promptTitle="Month" prompt="Enter Month." sqref="B10" xr:uid="{00000000-0002-0000-0100-000004000000}">
      <formula1>MONTH</formula1>
    </dataValidation>
  </dataValidations>
  <pageMargins left="0.7" right="0.7" top="0.75" bottom="0.75" header="0.3" footer="0.3"/>
  <pageSetup scale="7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52"/>
  <sheetViews>
    <sheetView showGridLines="0" zoomScaleNormal="100" workbookViewId="0">
      <pane ySplit="6" topLeftCell="A7" activePane="bottomLeft" state="frozen"/>
      <selection pane="bottomLeft" activeCell="A15" sqref="A15"/>
    </sheetView>
  </sheetViews>
  <sheetFormatPr defaultRowHeight="14.4" x14ac:dyDescent="0.3"/>
  <cols>
    <col min="1" max="1" width="14.33203125" style="261" customWidth="1"/>
    <col min="2" max="2" width="40.109375" style="261" customWidth="1"/>
    <col min="3" max="3" width="13.109375" style="261" customWidth="1"/>
    <col min="4" max="4" width="15.6640625" style="261" customWidth="1"/>
    <col min="5" max="5" width="21.44140625" style="261" customWidth="1"/>
    <col min="6" max="7" width="14.33203125" style="261" customWidth="1"/>
    <col min="8" max="8" width="12.5546875" style="261" customWidth="1"/>
    <col min="9" max="9" width="13.44140625" style="261" customWidth="1"/>
    <col min="10" max="10" width="14" style="261" customWidth="1"/>
    <col min="11" max="11" width="15.5546875" style="261" customWidth="1"/>
    <col min="12" max="12" width="27.5546875" style="261" customWidth="1"/>
  </cols>
  <sheetData>
    <row r="1" spans="1:12" ht="23.25" customHeight="1" x14ac:dyDescent="0.3">
      <c r="A1" s="53" t="s">
        <v>113</v>
      </c>
      <c r="B1" s="360" t="str">
        <f>IF(rng_Handler="","",rng_Handler)</f>
        <v/>
      </c>
      <c r="C1" s="361"/>
      <c r="D1" s="362" t="s">
        <v>112</v>
      </c>
      <c r="E1" s="339"/>
      <c r="F1" s="339"/>
      <c r="G1" s="339"/>
      <c r="H1" s="339"/>
      <c r="I1" s="339"/>
      <c r="J1" s="31"/>
      <c r="K1"/>
      <c r="L1"/>
    </row>
    <row r="2" spans="1:12" x14ac:dyDescent="0.3">
      <c r="A2" s="53" t="s">
        <v>115</v>
      </c>
      <c r="B2" s="54" t="str">
        <f>IF(Summary!B10="","",DATE(Summary!A10, Summary!B10, 10))</f>
        <v/>
      </c>
      <c r="C2" s="55"/>
      <c r="D2" s="339"/>
      <c r="E2" s="339"/>
      <c r="F2" s="339"/>
      <c r="G2" s="339"/>
      <c r="H2" s="339"/>
      <c r="I2" s="339"/>
      <c r="J2" s="45"/>
      <c r="K2"/>
      <c r="L2"/>
    </row>
    <row r="3" spans="1:12" x14ac:dyDescent="0.3">
      <c r="A3" s="53" t="s">
        <v>114</v>
      </c>
      <c r="B3" s="56">
        <f>Summary!C10</f>
        <v>51</v>
      </c>
      <c r="C3" s="55"/>
      <c r="D3" s="339"/>
      <c r="E3" s="339"/>
      <c r="F3" s="339"/>
      <c r="G3" s="339"/>
      <c r="H3" s="339"/>
      <c r="I3" s="339"/>
      <c r="J3" s="45"/>
      <c r="K3"/>
      <c r="L3"/>
    </row>
    <row r="4" spans="1:12" x14ac:dyDescent="0.3">
      <c r="A4" s="53" t="s">
        <v>181</v>
      </c>
      <c r="B4" s="62" t="str">
        <f>Summary!A10 &amp;"  "&amp; Summary!B10</f>
        <v xml:space="preserve">  </v>
      </c>
      <c r="C4" s="61"/>
      <c r="D4" s="339"/>
      <c r="E4" s="339"/>
      <c r="F4" s="339"/>
      <c r="G4" s="339"/>
      <c r="H4" s="339"/>
      <c r="I4" s="339"/>
      <c r="J4"/>
      <c r="K4"/>
      <c r="L4"/>
    </row>
    <row r="5" spans="1:12" ht="31.2" customHeight="1" x14ac:dyDescent="0.3">
      <c r="A5"/>
      <c r="B5"/>
      <c r="C5"/>
      <c r="D5"/>
      <c r="E5"/>
      <c r="F5" s="330" t="s">
        <v>454</v>
      </c>
      <c r="G5" s="331">
        <f>SUM(tbl_Receipts[Product Pounds])</f>
        <v>0</v>
      </c>
      <c r="H5" s="331">
        <f>SUM(tbl_Receipts[Butterfat 
Pounds])</f>
        <v>0</v>
      </c>
      <c r="I5" s="331">
        <f>SUM(tbl_Receipts[Protein 
Pounds])</f>
        <v>0</v>
      </c>
      <c r="J5" s="332">
        <f>SUM(tbl_Receipts[Other Solid 
Pounds])</f>
        <v>0</v>
      </c>
      <c r="K5"/>
      <c r="L5"/>
    </row>
    <row r="6" spans="1:12" ht="36" customHeight="1" x14ac:dyDescent="0.3">
      <c r="A6" s="162" t="s">
        <v>116</v>
      </c>
      <c r="B6" s="162" t="s">
        <v>126</v>
      </c>
      <c r="C6" s="162" t="s">
        <v>125</v>
      </c>
      <c r="D6" s="162" t="s">
        <v>124</v>
      </c>
      <c r="E6" s="162" t="s">
        <v>123</v>
      </c>
      <c r="F6" s="162" t="s">
        <v>128</v>
      </c>
      <c r="G6" s="161" t="s">
        <v>163</v>
      </c>
      <c r="H6" s="161" t="s">
        <v>120</v>
      </c>
      <c r="I6" s="161" t="s">
        <v>121</v>
      </c>
      <c r="J6" s="161" t="s">
        <v>122</v>
      </c>
      <c r="K6" s="162" t="s">
        <v>117</v>
      </c>
      <c r="L6" s="162" t="s">
        <v>118</v>
      </c>
    </row>
    <row r="7" spans="1:12" s="329" customFormat="1" ht="18" customHeight="1" x14ac:dyDescent="0.3">
      <c r="A7" s="175" t="s">
        <v>143</v>
      </c>
      <c r="B7" s="176" t="str">
        <f>IF(Summary!G10="","",Summary!G10)</f>
        <v/>
      </c>
      <c r="C7" s="177">
        <v>51</v>
      </c>
      <c r="D7" s="177" t="s">
        <v>154</v>
      </c>
      <c r="E7" s="177" t="s">
        <v>236</v>
      </c>
      <c r="F7" s="177">
        <v>1</v>
      </c>
      <c r="G7" s="178"/>
      <c r="H7" s="178"/>
      <c r="I7" s="178">
        <v>0</v>
      </c>
      <c r="J7" s="178">
        <v>0</v>
      </c>
      <c r="K7" s="180"/>
      <c r="L7" s="325" t="s">
        <v>679</v>
      </c>
    </row>
    <row r="8" spans="1:12" s="329" customFormat="1" ht="16.5" customHeight="1" x14ac:dyDescent="0.3">
      <c r="A8" s="175" t="s">
        <v>143</v>
      </c>
      <c r="B8" s="176" t="str">
        <f>IF(Summary!G10="","",Summary!G10)</f>
        <v/>
      </c>
      <c r="C8" s="177">
        <v>51</v>
      </c>
      <c r="D8" s="177" t="s">
        <v>141</v>
      </c>
      <c r="E8" s="177" t="s">
        <v>141</v>
      </c>
      <c r="F8" s="177">
        <v>4</v>
      </c>
      <c r="G8" s="178"/>
      <c r="H8" s="178"/>
      <c r="I8" s="178">
        <v>0</v>
      </c>
      <c r="J8" s="178">
        <v>0</v>
      </c>
      <c r="K8" s="180"/>
      <c r="L8" s="325" t="s">
        <v>680</v>
      </c>
    </row>
    <row r="9" spans="1:12" ht="27" x14ac:dyDescent="0.3">
      <c r="A9" s="175" t="s">
        <v>150</v>
      </c>
      <c r="B9" s="176" t="str">
        <f>IF(Summary!G10="","",Summary!G10)</f>
        <v/>
      </c>
      <c r="C9" s="177">
        <v>51</v>
      </c>
      <c r="D9" s="177" t="s">
        <v>146</v>
      </c>
      <c r="E9" s="177" t="s">
        <v>191</v>
      </c>
      <c r="F9" s="177">
        <v>2</v>
      </c>
      <c r="G9" s="178">
        <f>'Accountability for NFDM'!J50</f>
        <v>0</v>
      </c>
      <c r="H9" s="178">
        <f>'Accountability for NFDM'!K50</f>
        <v>0</v>
      </c>
      <c r="I9" s="178">
        <v>0</v>
      </c>
      <c r="J9" s="178">
        <v>0</v>
      </c>
      <c r="K9" s="180"/>
      <c r="L9" s="325" t="s">
        <v>681</v>
      </c>
    </row>
    <row r="10" spans="1:12" ht="27" x14ac:dyDescent="0.3">
      <c r="A10" s="175" t="s">
        <v>150</v>
      </c>
      <c r="B10" s="176" t="str">
        <f>IF(Summary!G10="","",Summary!G10)</f>
        <v/>
      </c>
      <c r="C10" s="177">
        <v>51</v>
      </c>
      <c r="D10" s="177" t="s">
        <v>149</v>
      </c>
      <c r="E10" s="177" t="s">
        <v>191</v>
      </c>
      <c r="F10" s="177">
        <v>3</v>
      </c>
      <c r="G10" s="178">
        <f>'Accountability for NFDM'!J54</f>
        <v>0</v>
      </c>
      <c r="H10" s="178">
        <f>'Accountability for NFDM'!K54</f>
        <v>0</v>
      </c>
      <c r="I10" s="178">
        <v>0</v>
      </c>
      <c r="J10" s="178">
        <v>0</v>
      </c>
      <c r="K10" s="180"/>
      <c r="L10" s="325" t="s">
        <v>681</v>
      </c>
    </row>
    <row r="11" spans="1:12" ht="27" x14ac:dyDescent="0.3">
      <c r="A11" s="175" t="s">
        <v>150</v>
      </c>
      <c r="B11" s="177" t="str">
        <f>IF(Summary!G10="","",Summary!G10)</f>
        <v/>
      </c>
      <c r="C11" s="177">
        <v>51</v>
      </c>
      <c r="D11" s="177" t="s">
        <v>151</v>
      </c>
      <c r="E11" s="177" t="s">
        <v>191</v>
      </c>
      <c r="F11" s="177">
        <v>4</v>
      </c>
      <c r="G11" s="178">
        <f>'Accountability for NFDM'!J60</f>
        <v>0</v>
      </c>
      <c r="H11" s="178">
        <f>'Accountability for NFDM'!K60</f>
        <v>0</v>
      </c>
      <c r="I11" s="178">
        <v>0</v>
      </c>
      <c r="J11" s="178">
        <v>0</v>
      </c>
      <c r="K11" s="180"/>
      <c r="L11" s="325" t="s">
        <v>681</v>
      </c>
    </row>
    <row r="12" spans="1:12" ht="27" x14ac:dyDescent="0.3">
      <c r="A12" s="322" t="s">
        <v>148</v>
      </c>
      <c r="B12" s="323"/>
      <c r="C12" s="323">
        <v>51</v>
      </c>
      <c r="D12" s="323" t="s">
        <v>158</v>
      </c>
      <c r="E12" s="323" t="s">
        <v>201</v>
      </c>
      <c r="F12" s="323" t="s">
        <v>136</v>
      </c>
      <c r="G12" s="321"/>
      <c r="H12" s="321"/>
      <c r="I12" s="321"/>
      <c r="J12" s="321"/>
      <c r="K12" s="320"/>
      <c r="L12" s="325"/>
    </row>
    <row r="13" spans="1:12" ht="27" x14ac:dyDescent="0.3">
      <c r="A13" s="322" t="s">
        <v>155</v>
      </c>
      <c r="B13" s="323"/>
      <c r="C13" s="323">
        <v>51</v>
      </c>
      <c r="D13" s="323" t="s">
        <v>158</v>
      </c>
      <c r="E13" s="323" t="s">
        <v>201</v>
      </c>
      <c r="F13" s="323" t="s">
        <v>136</v>
      </c>
      <c r="G13" s="321"/>
      <c r="H13" s="321"/>
      <c r="I13" s="321"/>
      <c r="J13" s="321"/>
      <c r="K13" s="320"/>
      <c r="L13" s="325"/>
    </row>
    <row r="14" spans="1:12" x14ac:dyDescent="0.3">
      <c r="A14" s="322" t="s">
        <v>153</v>
      </c>
      <c r="B14" s="323"/>
      <c r="C14" s="323"/>
      <c r="D14" s="323" t="s">
        <v>139</v>
      </c>
      <c r="E14" s="323" t="s">
        <v>199</v>
      </c>
      <c r="F14" s="323"/>
      <c r="G14" s="321"/>
      <c r="H14" s="321"/>
      <c r="I14" s="321"/>
      <c r="J14" s="321"/>
      <c r="K14" s="320"/>
      <c r="L14" s="325"/>
    </row>
    <row r="15" spans="1:12" x14ac:dyDescent="0.3">
      <c r="A15" s="322"/>
      <c r="B15" s="323"/>
      <c r="C15" s="323"/>
      <c r="D15" s="323"/>
      <c r="E15" s="323"/>
      <c r="F15" s="323"/>
      <c r="G15" s="321"/>
      <c r="H15" s="321"/>
      <c r="I15" s="321"/>
      <c r="J15" s="321"/>
      <c r="K15" s="320"/>
      <c r="L15" s="325"/>
    </row>
    <row r="16" spans="1:12" x14ac:dyDescent="0.3">
      <c r="A16" s="322"/>
      <c r="B16" s="323"/>
      <c r="C16" s="323"/>
      <c r="D16" s="323"/>
      <c r="E16" s="323"/>
      <c r="F16" s="323"/>
      <c r="G16" s="321"/>
      <c r="H16" s="321"/>
      <c r="I16" s="321"/>
      <c r="J16" s="321"/>
      <c r="K16" s="320"/>
      <c r="L16" s="325"/>
    </row>
    <row r="17" spans="1:12" x14ac:dyDescent="0.3">
      <c r="A17" s="322"/>
      <c r="B17" s="323"/>
      <c r="C17" s="323"/>
      <c r="D17" s="323"/>
      <c r="E17" s="323"/>
      <c r="F17" s="323"/>
      <c r="G17" s="321"/>
      <c r="H17" s="321"/>
      <c r="I17" s="321"/>
      <c r="J17" s="321"/>
      <c r="K17" s="320"/>
      <c r="L17" s="325"/>
    </row>
    <row r="18" spans="1:12" x14ac:dyDescent="0.3">
      <c r="A18" s="322"/>
      <c r="B18" s="323"/>
      <c r="C18" s="323"/>
      <c r="D18" s="323"/>
      <c r="E18" s="323"/>
      <c r="F18" s="323"/>
      <c r="G18" s="321"/>
      <c r="H18" s="321"/>
      <c r="I18" s="321"/>
      <c r="J18" s="321"/>
      <c r="K18" s="320"/>
      <c r="L18" s="325"/>
    </row>
    <row r="19" spans="1:12" x14ac:dyDescent="0.3">
      <c r="A19" s="322"/>
      <c r="B19" s="323"/>
      <c r="C19" s="323"/>
      <c r="D19" s="323"/>
      <c r="E19" s="323"/>
      <c r="F19" s="323"/>
      <c r="G19" s="321"/>
      <c r="H19" s="321"/>
      <c r="I19" s="321"/>
      <c r="J19" s="321"/>
      <c r="K19" s="320"/>
      <c r="L19" s="325"/>
    </row>
    <row r="20" spans="1:12" x14ac:dyDescent="0.3">
      <c r="A20" s="322"/>
      <c r="B20" s="323"/>
      <c r="C20" s="323"/>
      <c r="D20" s="323"/>
      <c r="E20" s="323"/>
      <c r="F20" s="323"/>
      <c r="G20" s="321"/>
      <c r="H20" s="321"/>
      <c r="I20" s="321"/>
      <c r="J20" s="321"/>
      <c r="K20" s="320"/>
      <c r="L20" s="325"/>
    </row>
    <row r="21" spans="1:12" x14ac:dyDescent="0.3">
      <c r="A21" s="322"/>
      <c r="B21" s="323"/>
      <c r="C21" s="323"/>
      <c r="D21" s="323"/>
      <c r="E21" s="323"/>
      <c r="F21" s="323"/>
      <c r="G21" s="321"/>
      <c r="H21" s="321"/>
      <c r="I21" s="321"/>
      <c r="J21" s="321"/>
      <c r="K21" s="320"/>
      <c r="L21" s="325"/>
    </row>
    <row r="22" spans="1:12" x14ac:dyDescent="0.3">
      <c r="A22" s="322"/>
      <c r="B22" s="323"/>
      <c r="C22" s="323"/>
      <c r="D22" s="323"/>
      <c r="E22" s="323"/>
      <c r="F22" s="323"/>
      <c r="G22" s="321"/>
      <c r="H22" s="321"/>
      <c r="I22" s="321"/>
      <c r="J22" s="321"/>
      <c r="K22" s="320"/>
      <c r="L22" s="325"/>
    </row>
    <row r="23" spans="1:12" x14ac:dyDescent="0.3">
      <c r="A23" s="322"/>
      <c r="B23" s="323"/>
      <c r="C23" s="323"/>
      <c r="D23" s="323"/>
      <c r="E23" s="323"/>
      <c r="F23" s="323"/>
      <c r="G23" s="321"/>
      <c r="H23" s="321"/>
      <c r="I23" s="321"/>
      <c r="J23" s="321"/>
      <c r="K23" s="320"/>
      <c r="L23" s="325"/>
    </row>
    <row r="24" spans="1:12" x14ac:dyDescent="0.3">
      <c r="A24" s="322"/>
      <c r="B24" s="323"/>
      <c r="C24" s="323"/>
      <c r="D24" s="323"/>
      <c r="E24" s="323"/>
      <c r="F24" s="323"/>
      <c r="G24" s="321"/>
      <c r="H24" s="321"/>
      <c r="I24" s="321"/>
      <c r="J24" s="321"/>
      <c r="K24" s="320"/>
      <c r="L24" s="325"/>
    </row>
    <row r="25" spans="1:12" x14ac:dyDescent="0.3">
      <c r="A25" s="322"/>
      <c r="B25" s="323"/>
      <c r="C25" s="323"/>
      <c r="D25" s="323"/>
      <c r="E25" s="323"/>
      <c r="F25" s="323"/>
      <c r="G25" s="321"/>
      <c r="H25" s="321"/>
      <c r="I25" s="321"/>
      <c r="J25" s="321"/>
      <c r="K25" s="320"/>
      <c r="L25" s="325"/>
    </row>
    <row r="26" spans="1:12" x14ac:dyDescent="0.3">
      <c r="A26" s="322"/>
      <c r="B26" s="323"/>
      <c r="C26" s="323"/>
      <c r="D26" s="323"/>
      <c r="E26" s="323"/>
      <c r="F26" s="323"/>
      <c r="G26" s="321"/>
      <c r="H26" s="321"/>
      <c r="I26" s="321"/>
      <c r="J26" s="321"/>
      <c r="K26" s="320"/>
      <c r="L26" s="325"/>
    </row>
    <row r="27" spans="1:12" x14ac:dyDescent="0.3">
      <c r="A27" s="322"/>
      <c r="B27" s="323"/>
      <c r="C27" s="323"/>
      <c r="D27" s="323"/>
      <c r="E27" s="323"/>
      <c r="F27" s="323"/>
      <c r="G27" s="321"/>
      <c r="H27" s="321"/>
      <c r="I27" s="321"/>
      <c r="J27" s="321"/>
      <c r="K27" s="320"/>
      <c r="L27" s="325"/>
    </row>
    <row r="28" spans="1:12" x14ac:dyDescent="0.3">
      <c r="A28" s="322"/>
      <c r="B28" s="323"/>
      <c r="C28" s="323"/>
      <c r="D28" s="323"/>
      <c r="E28" s="323"/>
      <c r="F28" s="323"/>
      <c r="G28" s="321"/>
      <c r="H28" s="321"/>
      <c r="I28" s="321"/>
      <c r="J28" s="321"/>
      <c r="K28" s="320"/>
      <c r="L28" s="325"/>
    </row>
    <row r="29" spans="1:12" x14ac:dyDescent="0.3">
      <c r="A29" s="322"/>
      <c r="B29" s="323"/>
      <c r="C29" s="323"/>
      <c r="D29" s="323"/>
      <c r="E29" s="323"/>
      <c r="F29" s="323"/>
      <c r="G29" s="321"/>
      <c r="H29" s="321"/>
      <c r="I29" s="321"/>
      <c r="J29" s="321"/>
      <c r="K29" s="320"/>
      <c r="L29" s="325"/>
    </row>
    <row r="30" spans="1:12" x14ac:dyDescent="0.3">
      <c r="A30" s="322"/>
      <c r="B30" s="323"/>
      <c r="C30" s="323"/>
      <c r="D30" s="323"/>
      <c r="E30" s="323"/>
      <c r="F30" s="323"/>
      <c r="G30" s="321"/>
      <c r="H30" s="321"/>
      <c r="I30" s="321"/>
      <c r="J30" s="321"/>
      <c r="K30" s="320"/>
      <c r="L30" s="325"/>
    </row>
    <row r="31" spans="1:12" x14ac:dyDescent="0.3">
      <c r="A31" s="322"/>
      <c r="B31" s="323"/>
      <c r="C31" s="323"/>
      <c r="D31" s="323"/>
      <c r="E31" s="323"/>
      <c r="F31" s="323"/>
      <c r="G31" s="321"/>
      <c r="H31" s="321"/>
      <c r="I31" s="321"/>
      <c r="J31" s="321"/>
      <c r="K31" s="320"/>
      <c r="L31" s="325"/>
    </row>
    <row r="32" spans="1:12" x14ac:dyDescent="0.3">
      <c r="A32" s="322"/>
      <c r="B32" s="323"/>
      <c r="C32" s="323"/>
      <c r="D32" s="323"/>
      <c r="E32" s="323"/>
      <c r="F32" s="323"/>
      <c r="G32" s="321"/>
      <c r="H32" s="321"/>
      <c r="I32" s="321"/>
      <c r="J32" s="321"/>
      <c r="K32" s="320"/>
      <c r="L32" s="325"/>
    </row>
    <row r="33" spans="1:12" x14ac:dyDescent="0.3">
      <c r="A33" s="322"/>
      <c r="B33" s="323"/>
      <c r="C33" s="323"/>
      <c r="D33" s="323"/>
      <c r="E33" s="323"/>
      <c r="F33" s="323"/>
      <c r="G33" s="321"/>
      <c r="H33" s="321"/>
      <c r="I33" s="321"/>
      <c r="J33" s="321"/>
      <c r="K33" s="320"/>
      <c r="L33" s="325"/>
    </row>
    <row r="34" spans="1:12" x14ac:dyDescent="0.3">
      <c r="A34" s="322"/>
      <c r="B34" s="323"/>
      <c r="C34" s="323"/>
      <c r="D34" s="323"/>
      <c r="E34" s="323"/>
      <c r="F34" s="323"/>
      <c r="G34" s="321"/>
      <c r="H34" s="321"/>
      <c r="I34" s="321"/>
      <c r="J34" s="321"/>
      <c r="K34" s="320"/>
      <c r="L34" s="325"/>
    </row>
    <row r="35" spans="1:12" x14ac:dyDescent="0.3">
      <c r="A35" s="322"/>
      <c r="B35" s="323"/>
      <c r="C35" s="323"/>
      <c r="D35" s="323"/>
      <c r="E35" s="323"/>
      <c r="F35" s="323"/>
      <c r="G35" s="321"/>
      <c r="H35" s="321"/>
      <c r="I35" s="321"/>
      <c r="J35" s="321"/>
      <c r="K35" s="320"/>
      <c r="L35" s="325"/>
    </row>
    <row r="36" spans="1:12" x14ac:dyDescent="0.3">
      <c r="A36" s="322"/>
      <c r="B36" s="323"/>
      <c r="C36" s="323"/>
      <c r="D36" s="323"/>
      <c r="E36" s="323"/>
      <c r="F36" s="323"/>
      <c r="G36" s="321"/>
      <c r="H36" s="321"/>
      <c r="I36" s="321"/>
      <c r="J36" s="321"/>
      <c r="K36" s="320"/>
      <c r="L36" s="325"/>
    </row>
    <row r="37" spans="1:12" x14ac:dyDescent="0.3">
      <c r="A37" s="322"/>
      <c r="B37" s="323"/>
      <c r="C37" s="323"/>
      <c r="D37" s="323"/>
      <c r="E37" s="323"/>
      <c r="F37" s="323"/>
      <c r="G37" s="321"/>
      <c r="H37" s="321"/>
      <c r="I37" s="321"/>
      <c r="J37" s="321"/>
      <c r="K37" s="320"/>
      <c r="L37" s="325"/>
    </row>
    <row r="38" spans="1:12" x14ac:dyDescent="0.3">
      <c r="A38" s="322"/>
      <c r="B38" s="323"/>
      <c r="C38" s="323"/>
      <c r="D38" s="323"/>
      <c r="E38" s="323"/>
      <c r="F38" s="323"/>
      <c r="G38" s="321"/>
      <c r="H38" s="321"/>
      <c r="I38" s="321"/>
      <c r="J38" s="321"/>
      <c r="K38" s="320"/>
      <c r="L38" s="325"/>
    </row>
    <row r="39" spans="1:12" x14ac:dyDescent="0.3">
      <c r="A39" s="322"/>
      <c r="B39" s="323"/>
      <c r="C39" s="323"/>
      <c r="D39" s="323"/>
      <c r="E39" s="323"/>
      <c r="F39" s="323"/>
      <c r="G39" s="321"/>
      <c r="H39" s="321"/>
      <c r="I39" s="321"/>
      <c r="J39" s="321"/>
      <c r="K39" s="320"/>
      <c r="L39" s="325"/>
    </row>
    <row r="40" spans="1:12" x14ac:dyDescent="0.3">
      <c r="A40" s="322"/>
      <c r="B40" s="323"/>
      <c r="C40" s="323"/>
      <c r="D40" s="323"/>
      <c r="E40" s="323"/>
      <c r="F40" s="323"/>
      <c r="G40" s="321"/>
      <c r="H40" s="321"/>
      <c r="I40" s="321"/>
      <c r="J40" s="321"/>
      <c r="K40" s="320"/>
      <c r="L40" s="325"/>
    </row>
    <row r="41" spans="1:12" x14ac:dyDescent="0.3">
      <c r="A41" s="322"/>
      <c r="B41" s="323"/>
      <c r="C41" s="323"/>
      <c r="D41" s="323"/>
      <c r="E41" s="323"/>
      <c r="F41" s="323"/>
      <c r="G41" s="321"/>
      <c r="H41" s="321"/>
      <c r="I41" s="321"/>
      <c r="J41" s="321"/>
      <c r="K41" s="320"/>
      <c r="L41" s="325"/>
    </row>
    <row r="42" spans="1:12" x14ac:dyDescent="0.3">
      <c r="A42" s="322"/>
      <c r="B42" s="323"/>
      <c r="C42" s="323"/>
      <c r="D42" s="323"/>
      <c r="E42" s="323"/>
      <c r="F42" s="323"/>
      <c r="G42" s="321"/>
      <c r="H42" s="321"/>
      <c r="I42" s="321"/>
      <c r="J42" s="321"/>
      <c r="K42" s="320"/>
      <c r="L42" s="325"/>
    </row>
    <row r="43" spans="1:12" x14ac:dyDescent="0.3">
      <c r="A43" s="322"/>
      <c r="B43" s="323"/>
      <c r="C43" s="323"/>
      <c r="D43" s="323"/>
      <c r="E43" s="323"/>
      <c r="F43" s="323"/>
      <c r="G43" s="321"/>
      <c r="H43" s="321"/>
      <c r="I43" s="321"/>
      <c r="J43" s="321"/>
      <c r="K43" s="320"/>
      <c r="L43" s="325"/>
    </row>
    <row r="44" spans="1:12" x14ac:dyDescent="0.3">
      <c r="A44" s="322"/>
      <c r="B44" s="323"/>
      <c r="C44" s="323"/>
      <c r="D44" s="323"/>
      <c r="E44" s="323"/>
      <c r="F44" s="323"/>
      <c r="G44" s="321"/>
      <c r="H44" s="321"/>
      <c r="I44" s="321"/>
      <c r="J44" s="321"/>
      <c r="K44" s="320"/>
      <c r="L44" s="325"/>
    </row>
    <row r="45" spans="1:12" x14ac:dyDescent="0.3">
      <c r="A45" s="322"/>
      <c r="B45" s="323"/>
      <c r="C45" s="323"/>
      <c r="D45" s="323"/>
      <c r="E45" s="323"/>
      <c r="F45" s="323"/>
      <c r="G45" s="321"/>
      <c r="H45" s="321"/>
      <c r="I45" s="321"/>
      <c r="J45" s="321"/>
      <c r="K45" s="320"/>
      <c r="L45" s="325"/>
    </row>
    <row r="46" spans="1:12" x14ac:dyDescent="0.3">
      <c r="A46" s="322"/>
      <c r="B46" s="323"/>
      <c r="C46" s="323"/>
      <c r="D46" s="323"/>
      <c r="E46" s="323"/>
      <c r="F46" s="323"/>
      <c r="G46" s="321"/>
      <c r="H46" s="321"/>
      <c r="I46" s="321"/>
      <c r="J46" s="321"/>
      <c r="K46" s="320"/>
      <c r="L46" s="325"/>
    </row>
    <row r="47" spans="1:12" x14ac:dyDescent="0.3">
      <c r="A47" s="322"/>
      <c r="B47" s="323"/>
      <c r="C47" s="323"/>
      <c r="D47" s="323"/>
      <c r="E47" s="323"/>
      <c r="F47" s="323"/>
      <c r="G47" s="321"/>
      <c r="H47" s="321"/>
      <c r="I47" s="321"/>
      <c r="J47" s="321"/>
      <c r="K47" s="320"/>
      <c r="L47" s="325"/>
    </row>
    <row r="48" spans="1:12" x14ac:dyDescent="0.3">
      <c r="A48" s="322"/>
      <c r="B48" s="323"/>
      <c r="C48" s="323"/>
      <c r="D48" s="323"/>
      <c r="E48" s="323"/>
      <c r="F48" s="323"/>
      <c r="G48" s="321"/>
      <c r="H48" s="321"/>
      <c r="I48" s="321"/>
      <c r="J48" s="321"/>
      <c r="K48" s="320"/>
      <c r="L48" s="325"/>
    </row>
    <row r="49" spans="1:12" x14ac:dyDescent="0.3">
      <c r="A49" s="322"/>
      <c r="B49" s="323"/>
      <c r="C49" s="323"/>
      <c r="D49" s="323"/>
      <c r="E49" s="323"/>
      <c r="F49" s="323"/>
      <c r="G49" s="321"/>
      <c r="H49" s="321"/>
      <c r="I49" s="321"/>
      <c r="J49" s="321"/>
      <c r="K49" s="320"/>
      <c r="L49" s="325"/>
    </row>
    <row r="50" spans="1:12" x14ac:dyDescent="0.3">
      <c r="A50" s="322"/>
      <c r="B50" s="323"/>
      <c r="C50" s="323"/>
      <c r="D50" s="323"/>
      <c r="E50" s="323"/>
      <c r="F50" s="323"/>
      <c r="G50" s="321"/>
      <c r="H50" s="321"/>
      <c r="I50" s="321"/>
      <c r="J50" s="321"/>
      <c r="K50" s="320"/>
      <c r="L50" s="325"/>
    </row>
    <row r="51" spans="1:12" x14ac:dyDescent="0.3">
      <c r="A51" s="322"/>
      <c r="B51" s="323"/>
      <c r="C51" s="323"/>
      <c r="D51" s="323"/>
      <c r="E51" s="323"/>
      <c r="F51" s="323"/>
      <c r="G51" s="321"/>
      <c r="H51" s="321"/>
      <c r="I51" s="321"/>
      <c r="J51" s="321"/>
      <c r="K51" s="320"/>
      <c r="L51" s="325"/>
    </row>
    <row r="52" spans="1:12" x14ac:dyDescent="0.3">
      <c r="A52" s="322"/>
      <c r="B52" s="323"/>
      <c r="C52" s="323"/>
      <c r="D52" s="323"/>
      <c r="E52" s="323"/>
      <c r="F52" s="323"/>
      <c r="G52" s="321"/>
      <c r="H52" s="321"/>
      <c r="I52" s="321"/>
      <c r="J52" s="321"/>
      <c r="K52" s="320"/>
      <c r="L52" s="325"/>
    </row>
    <row r="53" spans="1:12" x14ac:dyDescent="0.3">
      <c r="A53" s="322"/>
      <c r="B53" s="323"/>
      <c r="C53" s="323"/>
      <c r="D53" s="323"/>
      <c r="E53" s="323"/>
      <c r="F53" s="323"/>
      <c r="G53" s="321"/>
      <c r="H53" s="321"/>
      <c r="I53" s="321"/>
      <c r="J53" s="321"/>
      <c r="K53" s="320"/>
      <c r="L53" s="325"/>
    </row>
    <row r="54" spans="1:12" x14ac:dyDescent="0.3">
      <c r="A54" s="322"/>
      <c r="B54" s="323"/>
      <c r="C54" s="323"/>
      <c r="D54" s="323"/>
      <c r="E54" s="323"/>
      <c r="F54" s="323"/>
      <c r="G54" s="321"/>
      <c r="H54" s="321"/>
      <c r="I54" s="321"/>
      <c r="J54" s="321"/>
      <c r="K54" s="320"/>
      <c r="L54" s="325"/>
    </row>
    <row r="55" spans="1:12" x14ac:dyDescent="0.3">
      <c r="A55" s="322"/>
      <c r="B55" s="323"/>
      <c r="C55" s="323"/>
      <c r="D55" s="323"/>
      <c r="E55" s="323"/>
      <c r="F55" s="323"/>
      <c r="G55" s="321"/>
      <c r="H55" s="321"/>
      <c r="I55" s="321"/>
      <c r="J55" s="321"/>
      <c r="K55" s="320"/>
      <c r="L55" s="325"/>
    </row>
    <row r="56" spans="1:12" x14ac:dyDescent="0.3">
      <c r="A56" s="322"/>
      <c r="B56" s="323"/>
      <c r="C56" s="323"/>
      <c r="D56" s="323"/>
      <c r="E56" s="323"/>
      <c r="F56" s="323"/>
      <c r="G56" s="321"/>
      <c r="H56" s="321"/>
      <c r="I56" s="321"/>
      <c r="J56" s="321"/>
      <c r="K56" s="320"/>
      <c r="L56" s="325"/>
    </row>
    <row r="57" spans="1:12" x14ac:dyDescent="0.3">
      <c r="A57" s="322"/>
      <c r="B57" s="323"/>
      <c r="C57" s="323"/>
      <c r="D57" s="323"/>
      <c r="E57" s="323"/>
      <c r="F57" s="323"/>
      <c r="G57" s="321"/>
      <c r="H57" s="321"/>
      <c r="I57" s="321"/>
      <c r="J57" s="321"/>
      <c r="K57" s="320"/>
      <c r="L57" s="325"/>
    </row>
    <row r="58" spans="1:12" x14ac:dyDescent="0.3">
      <c r="A58" s="322"/>
      <c r="B58" s="323"/>
      <c r="C58" s="323"/>
      <c r="D58" s="323"/>
      <c r="E58" s="323"/>
      <c r="F58" s="323"/>
      <c r="G58" s="321"/>
      <c r="H58" s="321"/>
      <c r="I58" s="321"/>
      <c r="J58" s="321"/>
      <c r="K58" s="320"/>
      <c r="L58" s="325"/>
    </row>
    <row r="59" spans="1:12" x14ac:dyDescent="0.3">
      <c r="A59" s="322"/>
      <c r="B59" s="323"/>
      <c r="C59" s="323"/>
      <c r="D59" s="323"/>
      <c r="E59" s="323"/>
      <c r="F59" s="323"/>
      <c r="G59" s="321"/>
      <c r="H59" s="321"/>
      <c r="I59" s="321"/>
      <c r="J59" s="321"/>
      <c r="K59" s="320"/>
      <c r="L59" s="325"/>
    </row>
    <row r="60" spans="1:12" x14ac:dyDescent="0.3">
      <c r="A60" s="322"/>
      <c r="B60" s="323"/>
      <c r="C60" s="323"/>
      <c r="D60" s="323"/>
      <c r="E60" s="323"/>
      <c r="F60" s="323"/>
      <c r="G60" s="321"/>
      <c r="H60" s="321"/>
      <c r="I60" s="321"/>
      <c r="J60" s="321"/>
      <c r="K60" s="320"/>
      <c r="L60" s="325"/>
    </row>
    <row r="61" spans="1:12" x14ac:dyDescent="0.3">
      <c r="A61" s="322"/>
      <c r="B61" s="323"/>
      <c r="C61" s="323"/>
      <c r="D61" s="323"/>
      <c r="E61" s="323"/>
      <c r="F61" s="323"/>
      <c r="G61" s="321"/>
      <c r="H61" s="321"/>
      <c r="I61" s="321"/>
      <c r="J61" s="321"/>
      <c r="K61" s="320"/>
      <c r="L61" s="325"/>
    </row>
    <row r="62" spans="1:12" x14ac:dyDescent="0.3">
      <c r="A62" s="322"/>
      <c r="B62" s="323"/>
      <c r="C62" s="323"/>
      <c r="D62" s="323"/>
      <c r="E62" s="323"/>
      <c r="F62" s="323"/>
      <c r="G62" s="321"/>
      <c r="H62" s="321"/>
      <c r="I62" s="321"/>
      <c r="J62" s="321"/>
      <c r="K62" s="320"/>
      <c r="L62" s="325"/>
    </row>
    <row r="63" spans="1:12" x14ac:dyDescent="0.3">
      <c r="A63" s="322"/>
      <c r="B63" s="323"/>
      <c r="C63" s="323"/>
      <c r="D63" s="323"/>
      <c r="E63" s="323"/>
      <c r="F63" s="323"/>
      <c r="G63" s="321"/>
      <c r="H63" s="321"/>
      <c r="I63" s="321"/>
      <c r="J63" s="321"/>
      <c r="K63" s="320"/>
      <c r="L63" s="325"/>
    </row>
    <row r="64" spans="1:12" x14ac:dyDescent="0.3">
      <c r="A64" s="322"/>
      <c r="B64" s="323"/>
      <c r="C64" s="323"/>
      <c r="D64" s="323"/>
      <c r="E64" s="323"/>
      <c r="F64" s="323"/>
      <c r="G64" s="321"/>
      <c r="H64" s="321"/>
      <c r="I64" s="321"/>
      <c r="J64" s="321"/>
      <c r="K64" s="320"/>
      <c r="L64" s="325"/>
    </row>
    <row r="65" spans="1:12" x14ac:dyDescent="0.3">
      <c r="A65" s="322"/>
      <c r="B65" s="323"/>
      <c r="C65" s="323"/>
      <c r="D65" s="323"/>
      <c r="E65" s="323"/>
      <c r="F65" s="323"/>
      <c r="G65" s="321"/>
      <c r="H65" s="321"/>
      <c r="I65" s="321"/>
      <c r="J65" s="321"/>
      <c r="K65" s="320"/>
      <c r="L65" s="325"/>
    </row>
    <row r="66" spans="1:12" x14ac:dyDescent="0.3">
      <c r="A66" s="322"/>
      <c r="B66" s="323"/>
      <c r="C66" s="323"/>
      <c r="D66" s="323"/>
      <c r="E66" s="323"/>
      <c r="F66" s="323"/>
      <c r="G66" s="321"/>
      <c r="H66" s="321"/>
      <c r="I66" s="321"/>
      <c r="J66" s="321"/>
      <c r="K66" s="320"/>
      <c r="L66" s="325"/>
    </row>
    <row r="67" spans="1:12" x14ac:dyDescent="0.3">
      <c r="A67" s="322"/>
      <c r="B67" s="323"/>
      <c r="C67" s="323"/>
      <c r="D67" s="323"/>
      <c r="E67" s="323"/>
      <c r="F67" s="323"/>
      <c r="G67" s="321"/>
      <c r="H67" s="321"/>
      <c r="I67" s="321"/>
      <c r="J67" s="321"/>
      <c r="K67" s="320"/>
      <c r="L67" s="325"/>
    </row>
    <row r="68" spans="1:12" x14ac:dyDescent="0.3">
      <c r="A68" s="322"/>
      <c r="B68" s="323"/>
      <c r="C68" s="323"/>
      <c r="D68" s="323"/>
      <c r="E68" s="323"/>
      <c r="F68" s="323"/>
      <c r="G68" s="321"/>
      <c r="H68" s="321"/>
      <c r="I68" s="321"/>
      <c r="J68" s="321"/>
      <c r="K68" s="320"/>
      <c r="L68" s="325"/>
    </row>
    <row r="69" spans="1:12" x14ac:dyDescent="0.3">
      <c r="A69" s="322"/>
      <c r="B69" s="323"/>
      <c r="C69" s="323"/>
      <c r="D69" s="323"/>
      <c r="E69" s="323"/>
      <c r="F69" s="323"/>
      <c r="G69" s="321"/>
      <c r="H69" s="321"/>
      <c r="I69" s="321"/>
      <c r="J69" s="321"/>
      <c r="K69" s="320"/>
      <c r="L69" s="325"/>
    </row>
    <row r="70" spans="1:12" x14ac:dyDescent="0.3">
      <c r="A70" s="322"/>
      <c r="B70" s="323"/>
      <c r="C70" s="323"/>
      <c r="D70" s="323"/>
      <c r="E70" s="323"/>
      <c r="F70" s="323"/>
      <c r="G70" s="321"/>
      <c r="H70" s="321"/>
      <c r="I70" s="321"/>
      <c r="J70" s="321"/>
      <c r="K70" s="320"/>
      <c r="L70" s="325"/>
    </row>
    <row r="71" spans="1:12" x14ac:dyDescent="0.3">
      <c r="A71" s="322"/>
      <c r="B71" s="323"/>
      <c r="C71" s="323"/>
      <c r="D71" s="323"/>
      <c r="E71" s="323"/>
      <c r="F71" s="323"/>
      <c r="G71" s="321"/>
      <c r="H71" s="321"/>
      <c r="I71" s="321"/>
      <c r="J71" s="321"/>
      <c r="K71" s="320"/>
      <c r="L71" s="325"/>
    </row>
    <row r="72" spans="1:12" x14ac:dyDescent="0.3">
      <c r="A72" s="322"/>
      <c r="B72" s="323"/>
      <c r="C72" s="323"/>
      <c r="D72" s="323"/>
      <c r="E72" s="323"/>
      <c r="F72" s="323"/>
      <c r="G72" s="321"/>
      <c r="H72" s="321"/>
      <c r="I72" s="321"/>
      <c r="J72" s="321"/>
      <c r="K72" s="320"/>
      <c r="L72" s="325"/>
    </row>
    <row r="73" spans="1:12" x14ac:dyDescent="0.3">
      <c r="A73" s="322"/>
      <c r="B73" s="323"/>
      <c r="C73" s="323"/>
      <c r="D73" s="323"/>
      <c r="E73" s="323"/>
      <c r="F73" s="323"/>
      <c r="G73" s="321"/>
      <c r="H73" s="321"/>
      <c r="I73" s="321"/>
      <c r="J73" s="321"/>
      <c r="K73" s="320"/>
      <c r="L73" s="325"/>
    </row>
    <row r="74" spans="1:12" x14ac:dyDescent="0.3">
      <c r="A74" s="322"/>
      <c r="B74" s="323"/>
      <c r="C74" s="323"/>
      <c r="D74" s="323"/>
      <c r="E74" s="323"/>
      <c r="F74" s="323"/>
      <c r="G74" s="321"/>
      <c r="H74" s="321"/>
      <c r="I74" s="321"/>
      <c r="J74" s="321"/>
      <c r="K74" s="320"/>
      <c r="L74" s="325"/>
    </row>
    <row r="75" spans="1:12" x14ac:dyDescent="0.3">
      <c r="A75" s="322"/>
      <c r="B75" s="323"/>
      <c r="C75" s="323"/>
      <c r="D75" s="323"/>
      <c r="E75" s="323"/>
      <c r="F75" s="323"/>
      <c r="G75" s="321"/>
      <c r="H75" s="321"/>
      <c r="I75" s="321"/>
      <c r="J75" s="321"/>
      <c r="K75" s="320"/>
      <c r="L75" s="325"/>
    </row>
    <row r="76" spans="1:12" x14ac:dyDescent="0.3">
      <c r="A76" s="322"/>
      <c r="B76" s="323"/>
      <c r="C76" s="323"/>
      <c r="D76" s="323"/>
      <c r="E76" s="323"/>
      <c r="F76" s="323"/>
      <c r="G76" s="321"/>
      <c r="H76" s="321"/>
      <c r="I76" s="321"/>
      <c r="J76" s="321"/>
      <c r="K76" s="320"/>
      <c r="L76" s="325"/>
    </row>
    <row r="77" spans="1:12" x14ac:dyDescent="0.3">
      <c r="A77" s="322"/>
      <c r="B77" s="323"/>
      <c r="C77" s="323"/>
      <c r="D77" s="323"/>
      <c r="E77" s="323"/>
      <c r="F77" s="323"/>
      <c r="G77" s="321"/>
      <c r="H77" s="321"/>
      <c r="I77" s="321"/>
      <c r="J77" s="321"/>
      <c r="K77" s="320"/>
      <c r="L77" s="325"/>
    </row>
    <row r="78" spans="1:12" x14ac:dyDescent="0.3">
      <c r="A78" s="322"/>
      <c r="B78" s="323"/>
      <c r="C78" s="323"/>
      <c r="D78" s="323"/>
      <c r="E78" s="323"/>
      <c r="F78" s="323"/>
      <c r="G78" s="321"/>
      <c r="H78" s="321"/>
      <c r="I78" s="321"/>
      <c r="J78" s="321"/>
      <c r="K78" s="320"/>
      <c r="L78" s="325"/>
    </row>
    <row r="79" spans="1:12" x14ac:dyDescent="0.3">
      <c r="A79" s="322"/>
      <c r="B79" s="323"/>
      <c r="C79" s="323"/>
      <c r="D79" s="323"/>
      <c r="E79" s="323"/>
      <c r="F79" s="323"/>
      <c r="G79" s="321"/>
      <c r="H79" s="321"/>
      <c r="I79" s="321"/>
      <c r="J79" s="321"/>
      <c r="K79" s="320"/>
      <c r="L79" s="325"/>
    </row>
    <row r="80" spans="1:12" x14ac:dyDescent="0.3">
      <c r="A80" s="322"/>
      <c r="B80" s="323"/>
      <c r="C80" s="323"/>
      <c r="D80" s="323"/>
      <c r="E80" s="323"/>
      <c r="F80" s="323"/>
      <c r="G80" s="321"/>
      <c r="H80" s="321"/>
      <c r="I80" s="321"/>
      <c r="J80" s="321"/>
      <c r="K80" s="320"/>
      <c r="L80" s="325"/>
    </row>
    <row r="81" spans="1:12" x14ac:dyDescent="0.3">
      <c r="A81" s="322"/>
      <c r="B81" s="323"/>
      <c r="C81" s="323"/>
      <c r="D81" s="323"/>
      <c r="E81" s="323"/>
      <c r="F81" s="323"/>
      <c r="G81" s="321"/>
      <c r="H81" s="321"/>
      <c r="I81" s="321"/>
      <c r="J81" s="321"/>
      <c r="K81" s="320"/>
      <c r="L81" s="325"/>
    </row>
    <row r="82" spans="1:12" x14ac:dyDescent="0.3">
      <c r="A82" s="322"/>
      <c r="B82" s="323"/>
      <c r="C82" s="323"/>
      <c r="D82" s="323"/>
      <c r="E82" s="323"/>
      <c r="F82" s="323"/>
      <c r="G82" s="321"/>
      <c r="H82" s="321"/>
      <c r="I82" s="321"/>
      <c r="J82" s="321"/>
      <c r="K82" s="320"/>
      <c r="L82" s="325"/>
    </row>
    <row r="83" spans="1:12" x14ac:dyDescent="0.3">
      <c r="A83" s="322"/>
      <c r="B83" s="323"/>
      <c r="C83" s="323"/>
      <c r="D83" s="323"/>
      <c r="E83" s="323"/>
      <c r="F83" s="323"/>
      <c r="G83" s="321"/>
      <c r="H83" s="321"/>
      <c r="I83" s="321"/>
      <c r="J83" s="321"/>
      <c r="K83" s="320"/>
      <c r="L83" s="325"/>
    </row>
    <row r="84" spans="1:12" x14ac:dyDescent="0.3">
      <c r="A84" s="322"/>
      <c r="B84" s="323"/>
      <c r="C84" s="323"/>
      <c r="D84" s="323"/>
      <c r="E84" s="323"/>
      <c r="F84" s="323"/>
      <c r="G84" s="321"/>
      <c r="H84" s="321"/>
      <c r="I84" s="321"/>
      <c r="J84" s="321"/>
      <c r="K84" s="320"/>
      <c r="L84" s="325"/>
    </row>
    <row r="85" spans="1:12" x14ac:dyDescent="0.3">
      <c r="A85" s="322"/>
      <c r="B85" s="323"/>
      <c r="C85" s="323"/>
      <c r="D85" s="323"/>
      <c r="E85" s="323"/>
      <c r="F85" s="323"/>
      <c r="G85" s="321"/>
      <c r="H85" s="321"/>
      <c r="I85" s="321"/>
      <c r="J85" s="321"/>
      <c r="K85" s="320"/>
      <c r="L85" s="325"/>
    </row>
    <row r="86" spans="1:12" x14ac:dyDescent="0.3">
      <c r="A86" s="322"/>
      <c r="B86" s="323"/>
      <c r="C86" s="323"/>
      <c r="D86" s="323"/>
      <c r="E86" s="323"/>
      <c r="F86" s="323"/>
      <c r="G86" s="321"/>
      <c r="H86" s="321"/>
      <c r="I86" s="321"/>
      <c r="J86" s="321"/>
      <c r="K86" s="320"/>
      <c r="L86" s="325"/>
    </row>
    <row r="87" spans="1:12" x14ac:dyDescent="0.3">
      <c r="A87" s="322"/>
      <c r="B87" s="323"/>
      <c r="C87" s="323"/>
      <c r="D87" s="323"/>
      <c r="E87" s="323"/>
      <c r="F87" s="323"/>
      <c r="G87" s="321"/>
      <c r="H87" s="321"/>
      <c r="I87" s="321"/>
      <c r="J87" s="321"/>
      <c r="K87" s="320"/>
      <c r="L87" s="325"/>
    </row>
    <row r="88" spans="1:12" x14ac:dyDescent="0.3">
      <c r="A88" s="322"/>
      <c r="B88" s="323"/>
      <c r="C88" s="323"/>
      <c r="D88" s="323"/>
      <c r="E88" s="323"/>
      <c r="F88" s="323"/>
      <c r="G88" s="321"/>
      <c r="H88" s="321"/>
      <c r="I88" s="321"/>
      <c r="J88" s="321"/>
      <c r="K88" s="320"/>
      <c r="L88" s="325"/>
    </row>
    <row r="89" spans="1:12" x14ac:dyDescent="0.3">
      <c r="A89" s="322"/>
      <c r="B89" s="323"/>
      <c r="C89" s="323"/>
      <c r="D89" s="323"/>
      <c r="E89" s="323"/>
      <c r="F89" s="323"/>
      <c r="G89" s="321"/>
      <c r="H89" s="321"/>
      <c r="I89" s="321"/>
      <c r="J89" s="321"/>
      <c r="K89" s="320"/>
      <c r="L89" s="325"/>
    </row>
    <row r="90" spans="1:12" x14ac:dyDescent="0.3">
      <c r="A90" s="322"/>
      <c r="B90" s="323"/>
      <c r="C90" s="323"/>
      <c r="D90" s="323"/>
      <c r="E90" s="323"/>
      <c r="F90" s="323"/>
      <c r="G90" s="321"/>
      <c r="H90" s="321"/>
      <c r="I90" s="321"/>
      <c r="J90" s="321"/>
      <c r="K90" s="320"/>
      <c r="L90" s="325"/>
    </row>
    <row r="91" spans="1:12" x14ac:dyDescent="0.3">
      <c r="A91" s="322"/>
      <c r="B91" s="323"/>
      <c r="C91" s="323"/>
      <c r="D91" s="323"/>
      <c r="E91" s="323"/>
      <c r="F91" s="323"/>
      <c r="G91" s="321"/>
      <c r="H91" s="321"/>
      <c r="I91" s="321"/>
      <c r="J91" s="321"/>
      <c r="K91" s="320"/>
      <c r="L91" s="325"/>
    </row>
    <row r="92" spans="1:12" x14ac:dyDescent="0.3">
      <c r="A92" s="322"/>
      <c r="B92" s="323"/>
      <c r="C92" s="323"/>
      <c r="D92" s="323"/>
      <c r="E92" s="323"/>
      <c r="F92" s="323"/>
      <c r="G92" s="321"/>
      <c r="H92" s="321"/>
      <c r="I92" s="321"/>
      <c r="J92" s="321"/>
      <c r="K92" s="320"/>
      <c r="L92" s="325"/>
    </row>
    <row r="93" spans="1:12" x14ac:dyDescent="0.3">
      <c r="A93" s="322"/>
      <c r="B93" s="323"/>
      <c r="C93" s="323"/>
      <c r="D93" s="323"/>
      <c r="E93" s="323"/>
      <c r="F93" s="323"/>
      <c r="G93" s="321"/>
      <c r="H93" s="321"/>
      <c r="I93" s="321"/>
      <c r="J93" s="321"/>
      <c r="K93" s="320"/>
      <c r="L93" s="325"/>
    </row>
    <row r="94" spans="1:12" x14ac:dyDescent="0.3">
      <c r="A94" s="322"/>
      <c r="B94" s="323"/>
      <c r="C94" s="323"/>
      <c r="D94" s="323"/>
      <c r="E94" s="323"/>
      <c r="F94" s="323"/>
      <c r="G94" s="321"/>
      <c r="H94" s="321"/>
      <c r="I94" s="321"/>
      <c r="J94" s="321"/>
      <c r="K94" s="320"/>
      <c r="L94" s="325"/>
    </row>
    <row r="95" spans="1:12" x14ac:dyDescent="0.3">
      <c r="A95" s="322"/>
      <c r="B95" s="323"/>
      <c r="C95" s="323"/>
      <c r="D95" s="323"/>
      <c r="E95" s="323"/>
      <c r="F95" s="323"/>
      <c r="G95" s="321"/>
      <c r="H95" s="321"/>
      <c r="I95" s="321"/>
      <c r="J95" s="321"/>
      <c r="K95" s="320"/>
      <c r="L95" s="325"/>
    </row>
    <row r="96" spans="1:12" x14ac:dyDescent="0.3">
      <c r="A96" s="322"/>
      <c r="B96" s="323"/>
      <c r="C96" s="323"/>
      <c r="D96" s="323"/>
      <c r="E96" s="323"/>
      <c r="F96" s="323"/>
      <c r="G96" s="321"/>
      <c r="H96" s="321"/>
      <c r="I96" s="321"/>
      <c r="J96" s="321"/>
      <c r="K96" s="320"/>
      <c r="L96" s="325"/>
    </row>
    <row r="97" spans="1:12" x14ac:dyDescent="0.3">
      <c r="A97" s="322"/>
      <c r="B97" s="323"/>
      <c r="C97" s="323"/>
      <c r="D97" s="323"/>
      <c r="E97" s="323"/>
      <c r="F97" s="323"/>
      <c r="G97" s="321"/>
      <c r="H97" s="321"/>
      <c r="I97" s="321"/>
      <c r="J97" s="321"/>
      <c r="K97" s="320"/>
      <c r="L97" s="325"/>
    </row>
    <row r="98" spans="1:12" x14ac:dyDescent="0.3">
      <c r="A98" s="322"/>
      <c r="B98" s="323"/>
      <c r="C98" s="323"/>
      <c r="D98" s="323"/>
      <c r="E98" s="323"/>
      <c r="F98" s="323"/>
      <c r="G98" s="321"/>
      <c r="H98" s="321"/>
      <c r="I98" s="321"/>
      <c r="J98" s="321"/>
      <c r="K98" s="320"/>
      <c r="L98" s="325"/>
    </row>
    <row r="99" spans="1:12" x14ac:dyDescent="0.3">
      <c r="A99" s="322"/>
      <c r="B99" s="323"/>
      <c r="C99" s="323"/>
      <c r="D99" s="323"/>
      <c r="E99" s="323"/>
      <c r="F99" s="323"/>
      <c r="G99" s="321"/>
      <c r="H99" s="321"/>
      <c r="I99" s="321"/>
      <c r="J99" s="321"/>
      <c r="K99" s="320"/>
      <c r="L99" s="325"/>
    </row>
    <row r="100" spans="1:12" x14ac:dyDescent="0.3">
      <c r="A100" s="322"/>
      <c r="B100" s="323"/>
      <c r="C100" s="323"/>
      <c r="D100" s="323"/>
      <c r="E100" s="323"/>
      <c r="F100" s="323"/>
      <c r="G100" s="321"/>
      <c r="H100" s="321"/>
      <c r="I100" s="321"/>
      <c r="J100" s="321"/>
      <c r="K100" s="320"/>
      <c r="L100" s="325"/>
    </row>
    <row r="101" spans="1:12" x14ac:dyDescent="0.3">
      <c r="A101" s="322"/>
      <c r="B101" s="323"/>
      <c r="C101" s="323"/>
      <c r="D101" s="323"/>
      <c r="E101" s="323"/>
      <c r="F101" s="323"/>
      <c r="G101" s="321"/>
      <c r="H101" s="321"/>
      <c r="I101" s="321"/>
      <c r="J101" s="321"/>
      <c r="K101" s="320"/>
      <c r="L101" s="325"/>
    </row>
    <row r="102" spans="1:12" x14ac:dyDescent="0.3">
      <c r="A102" s="322"/>
      <c r="B102" s="323"/>
      <c r="C102" s="323"/>
      <c r="D102" s="323"/>
      <c r="E102" s="323"/>
      <c r="F102" s="323"/>
      <c r="G102" s="321"/>
      <c r="H102" s="321"/>
      <c r="I102" s="321"/>
      <c r="J102" s="321"/>
      <c r="K102" s="320"/>
      <c r="L102" s="325"/>
    </row>
    <row r="103" spans="1:12" x14ac:dyDescent="0.3">
      <c r="A103" s="322"/>
      <c r="B103" s="323"/>
      <c r="C103" s="323"/>
      <c r="D103" s="323"/>
      <c r="E103" s="323"/>
      <c r="F103" s="323"/>
      <c r="G103" s="321"/>
      <c r="H103" s="321"/>
      <c r="I103" s="321"/>
      <c r="J103" s="321"/>
      <c r="K103" s="320"/>
      <c r="L103" s="325"/>
    </row>
    <row r="104" spans="1:12" x14ac:dyDescent="0.3">
      <c r="A104" s="322"/>
      <c r="B104" s="323"/>
      <c r="C104" s="323"/>
      <c r="D104" s="323"/>
      <c r="E104" s="323"/>
      <c r="F104" s="323"/>
      <c r="G104" s="321"/>
      <c r="H104" s="321"/>
      <c r="I104" s="321"/>
      <c r="J104" s="321"/>
      <c r="K104" s="320"/>
      <c r="L104" s="325"/>
    </row>
    <row r="105" spans="1:12" x14ac:dyDescent="0.3">
      <c r="A105" s="322"/>
      <c r="B105" s="323"/>
      <c r="C105" s="323"/>
      <c r="D105" s="323"/>
      <c r="E105" s="323"/>
      <c r="F105" s="323"/>
      <c r="G105" s="321"/>
      <c r="H105" s="321"/>
      <c r="I105" s="321"/>
      <c r="J105" s="321"/>
      <c r="K105" s="320"/>
      <c r="L105" s="325"/>
    </row>
    <row r="106" spans="1:12" x14ac:dyDescent="0.3">
      <c r="A106" s="322"/>
      <c r="B106" s="323"/>
      <c r="C106" s="323"/>
      <c r="D106" s="323"/>
      <c r="E106" s="323"/>
      <c r="F106" s="323"/>
      <c r="G106" s="321"/>
      <c r="H106" s="321"/>
      <c r="I106" s="321"/>
      <c r="J106" s="321"/>
      <c r="K106" s="320"/>
      <c r="L106" s="325"/>
    </row>
    <row r="107" spans="1:12" x14ac:dyDescent="0.3">
      <c r="A107" s="322"/>
      <c r="B107" s="323"/>
      <c r="C107" s="323"/>
      <c r="D107" s="323"/>
      <c r="E107" s="323"/>
      <c r="F107" s="323"/>
      <c r="G107" s="321"/>
      <c r="H107" s="321"/>
      <c r="I107" s="321"/>
      <c r="J107" s="321"/>
      <c r="K107" s="320"/>
      <c r="L107" s="325"/>
    </row>
    <row r="108" spans="1:12" x14ac:dyDescent="0.3">
      <c r="A108" s="322"/>
      <c r="B108" s="323"/>
      <c r="C108" s="323"/>
      <c r="D108" s="323"/>
      <c r="E108" s="323"/>
      <c r="F108" s="323"/>
      <c r="G108" s="321"/>
      <c r="H108" s="321"/>
      <c r="I108" s="321"/>
      <c r="J108" s="321"/>
      <c r="K108" s="320"/>
      <c r="L108" s="325"/>
    </row>
    <row r="109" spans="1:12" x14ac:dyDescent="0.3">
      <c r="A109" s="322"/>
      <c r="B109" s="323"/>
      <c r="C109" s="323"/>
      <c r="D109" s="323"/>
      <c r="E109" s="323"/>
      <c r="F109" s="323"/>
      <c r="G109" s="321"/>
      <c r="H109" s="321"/>
      <c r="I109" s="321"/>
      <c r="J109" s="321"/>
      <c r="K109" s="320"/>
      <c r="L109" s="325"/>
    </row>
    <row r="110" spans="1:12" x14ac:dyDescent="0.3">
      <c r="A110" s="322"/>
      <c r="B110" s="323"/>
      <c r="C110" s="323"/>
      <c r="D110" s="323"/>
      <c r="E110" s="323"/>
      <c r="F110" s="323"/>
      <c r="G110" s="321"/>
      <c r="H110" s="321"/>
      <c r="I110" s="321"/>
      <c r="J110" s="321"/>
      <c r="K110" s="320"/>
      <c r="L110" s="325"/>
    </row>
    <row r="111" spans="1:12" x14ac:dyDescent="0.3">
      <c r="A111" s="322"/>
      <c r="B111" s="323"/>
      <c r="C111" s="323"/>
      <c r="D111" s="323"/>
      <c r="E111" s="323"/>
      <c r="F111" s="323"/>
      <c r="G111" s="321"/>
      <c r="H111" s="321"/>
      <c r="I111" s="321"/>
      <c r="J111" s="321"/>
      <c r="K111" s="320"/>
      <c r="L111" s="325"/>
    </row>
    <row r="112" spans="1:12" x14ac:dyDescent="0.3">
      <c r="A112" s="322"/>
      <c r="B112" s="323"/>
      <c r="C112" s="323"/>
      <c r="D112" s="323"/>
      <c r="E112" s="323"/>
      <c r="F112" s="323"/>
      <c r="G112" s="321"/>
      <c r="H112" s="321"/>
      <c r="I112" s="321"/>
      <c r="J112" s="321"/>
      <c r="K112" s="320"/>
      <c r="L112" s="325"/>
    </row>
    <row r="113" spans="1:12" x14ac:dyDescent="0.3">
      <c r="A113" s="322"/>
      <c r="B113" s="323"/>
      <c r="C113" s="323"/>
      <c r="D113" s="323"/>
      <c r="E113" s="323"/>
      <c r="F113" s="323"/>
      <c r="G113" s="321"/>
      <c r="H113" s="321"/>
      <c r="I113" s="321"/>
      <c r="J113" s="321"/>
      <c r="K113" s="320"/>
      <c r="L113" s="325"/>
    </row>
    <row r="114" spans="1:12" x14ac:dyDescent="0.3">
      <c r="A114" s="322"/>
      <c r="B114" s="323"/>
      <c r="C114" s="323"/>
      <c r="D114" s="323"/>
      <c r="E114" s="323"/>
      <c r="F114" s="323"/>
      <c r="G114" s="321"/>
      <c r="H114" s="321"/>
      <c r="I114" s="321"/>
      <c r="J114" s="321"/>
      <c r="K114" s="320"/>
      <c r="L114" s="325"/>
    </row>
    <row r="115" spans="1:12" x14ac:dyDescent="0.3">
      <c r="A115" s="322"/>
      <c r="B115" s="323"/>
      <c r="C115" s="323"/>
      <c r="D115" s="323"/>
      <c r="E115" s="323"/>
      <c r="F115" s="323"/>
      <c r="G115" s="321"/>
      <c r="H115" s="321"/>
      <c r="I115" s="321"/>
      <c r="J115" s="321"/>
      <c r="K115" s="320"/>
      <c r="L115" s="325"/>
    </row>
    <row r="116" spans="1:12" x14ac:dyDescent="0.3">
      <c r="A116" s="322"/>
      <c r="B116" s="323"/>
      <c r="C116" s="323"/>
      <c r="D116" s="323"/>
      <c r="E116" s="323"/>
      <c r="F116" s="323"/>
      <c r="G116" s="321"/>
      <c r="H116" s="321"/>
      <c r="I116" s="321"/>
      <c r="J116" s="321"/>
      <c r="K116" s="320"/>
      <c r="L116" s="325"/>
    </row>
    <row r="117" spans="1:12" x14ac:dyDescent="0.3">
      <c r="A117" s="322"/>
      <c r="B117" s="323"/>
      <c r="C117" s="323"/>
      <c r="D117" s="323"/>
      <c r="E117" s="323"/>
      <c r="F117" s="323"/>
      <c r="G117" s="321"/>
      <c r="H117" s="321"/>
      <c r="I117" s="321"/>
      <c r="J117" s="321"/>
      <c r="K117" s="320"/>
      <c r="L117" s="325"/>
    </row>
    <row r="118" spans="1:12" x14ac:dyDescent="0.3">
      <c r="A118" s="322"/>
      <c r="B118" s="323"/>
      <c r="C118" s="323"/>
      <c r="D118" s="323"/>
      <c r="E118" s="323"/>
      <c r="F118" s="323"/>
      <c r="G118" s="321"/>
      <c r="H118" s="321"/>
      <c r="I118" s="321"/>
      <c r="J118" s="321"/>
      <c r="K118" s="320"/>
      <c r="L118" s="325"/>
    </row>
    <row r="119" spans="1:12" x14ac:dyDescent="0.3">
      <c r="A119" s="322"/>
      <c r="B119" s="323"/>
      <c r="C119" s="323"/>
      <c r="D119" s="323"/>
      <c r="E119" s="323"/>
      <c r="F119" s="323"/>
      <c r="G119" s="321"/>
      <c r="H119" s="321"/>
      <c r="I119" s="321"/>
      <c r="J119" s="321"/>
      <c r="K119" s="320"/>
      <c r="L119" s="325"/>
    </row>
    <row r="120" spans="1:12" x14ac:dyDescent="0.3">
      <c r="A120" s="322"/>
      <c r="B120" s="323"/>
      <c r="C120" s="323"/>
      <c r="D120" s="323"/>
      <c r="E120" s="323"/>
      <c r="F120" s="323"/>
      <c r="G120" s="321"/>
      <c r="H120" s="321"/>
      <c r="I120" s="321"/>
      <c r="J120" s="321"/>
      <c r="K120" s="320"/>
      <c r="L120" s="325"/>
    </row>
    <row r="121" spans="1:12" x14ac:dyDescent="0.3">
      <c r="A121" s="322"/>
      <c r="B121" s="323"/>
      <c r="C121" s="323"/>
      <c r="D121" s="323"/>
      <c r="E121" s="323"/>
      <c r="F121" s="323"/>
      <c r="G121" s="321"/>
      <c r="H121" s="321"/>
      <c r="I121" s="321"/>
      <c r="J121" s="321"/>
      <c r="K121" s="320"/>
      <c r="L121" s="325"/>
    </row>
    <row r="122" spans="1:12" x14ac:dyDescent="0.3">
      <c r="A122" s="322"/>
      <c r="B122" s="323"/>
      <c r="C122" s="323"/>
      <c r="D122" s="323"/>
      <c r="E122" s="323"/>
      <c r="F122" s="323"/>
      <c r="G122" s="321"/>
      <c r="H122" s="321"/>
      <c r="I122" s="321"/>
      <c r="J122" s="321"/>
      <c r="K122" s="320"/>
      <c r="L122" s="325"/>
    </row>
    <row r="123" spans="1:12" x14ac:dyDescent="0.3">
      <c r="A123" s="322"/>
      <c r="B123" s="323"/>
      <c r="C123" s="323"/>
      <c r="D123" s="323"/>
      <c r="E123" s="323"/>
      <c r="F123" s="323"/>
      <c r="G123" s="321"/>
      <c r="H123" s="321"/>
      <c r="I123" s="321"/>
      <c r="J123" s="321"/>
      <c r="K123" s="320"/>
      <c r="L123" s="325"/>
    </row>
    <row r="124" spans="1:12" x14ac:dyDescent="0.3">
      <c r="A124" s="322"/>
      <c r="B124" s="323"/>
      <c r="C124" s="323"/>
      <c r="D124" s="323"/>
      <c r="E124" s="323"/>
      <c r="F124" s="323"/>
      <c r="G124" s="321"/>
      <c r="H124" s="321"/>
      <c r="I124" s="321"/>
      <c r="J124" s="321"/>
      <c r="K124" s="320"/>
      <c r="L124" s="325"/>
    </row>
    <row r="125" spans="1:12" x14ac:dyDescent="0.3">
      <c r="A125" s="322"/>
      <c r="B125" s="323"/>
      <c r="C125" s="323"/>
      <c r="D125" s="323"/>
      <c r="E125" s="323"/>
      <c r="F125" s="323"/>
      <c r="G125" s="321"/>
      <c r="H125" s="321"/>
      <c r="I125" s="321"/>
      <c r="J125" s="321"/>
      <c r="K125" s="320"/>
      <c r="L125" s="325"/>
    </row>
    <row r="126" spans="1:12" x14ac:dyDescent="0.3">
      <c r="A126" s="322"/>
      <c r="B126" s="323"/>
      <c r="C126" s="323"/>
      <c r="D126" s="323"/>
      <c r="E126" s="323"/>
      <c r="F126" s="323"/>
      <c r="G126" s="321"/>
      <c r="H126" s="321"/>
      <c r="I126" s="321"/>
      <c r="J126" s="321"/>
      <c r="K126" s="320"/>
      <c r="L126" s="325"/>
    </row>
    <row r="127" spans="1:12" x14ac:dyDescent="0.3">
      <c r="A127" s="322"/>
      <c r="B127" s="323"/>
      <c r="C127" s="323"/>
      <c r="D127" s="323"/>
      <c r="E127" s="323"/>
      <c r="F127" s="323"/>
      <c r="G127" s="321"/>
      <c r="H127" s="321"/>
      <c r="I127" s="321"/>
      <c r="J127" s="321"/>
      <c r="K127" s="320"/>
      <c r="L127" s="325"/>
    </row>
    <row r="128" spans="1:12" x14ac:dyDescent="0.3">
      <c r="A128" s="322"/>
      <c r="B128" s="323"/>
      <c r="C128" s="323"/>
      <c r="D128" s="323"/>
      <c r="E128" s="323"/>
      <c r="F128" s="323"/>
      <c r="G128" s="321"/>
      <c r="H128" s="321"/>
      <c r="I128" s="321"/>
      <c r="J128" s="321"/>
      <c r="K128" s="320"/>
      <c r="L128" s="325"/>
    </row>
    <row r="129" spans="1:12" x14ac:dyDescent="0.3">
      <c r="A129" s="322"/>
      <c r="B129" s="323"/>
      <c r="C129" s="323"/>
      <c r="D129" s="323"/>
      <c r="E129" s="323"/>
      <c r="F129" s="323"/>
      <c r="G129" s="321"/>
      <c r="H129" s="321"/>
      <c r="I129" s="321"/>
      <c r="J129" s="321"/>
      <c r="K129" s="320"/>
      <c r="L129" s="325"/>
    </row>
    <row r="130" spans="1:12" x14ac:dyDescent="0.3">
      <c r="A130" s="322"/>
      <c r="B130" s="323"/>
      <c r="C130" s="323"/>
      <c r="D130" s="323"/>
      <c r="E130" s="323"/>
      <c r="F130" s="323"/>
      <c r="G130" s="321"/>
      <c r="H130" s="321"/>
      <c r="I130" s="321"/>
      <c r="J130" s="321"/>
      <c r="K130" s="320"/>
      <c r="L130" s="325"/>
    </row>
    <row r="131" spans="1:12" x14ac:dyDescent="0.3">
      <c r="A131" s="322"/>
      <c r="B131" s="323"/>
      <c r="C131" s="323"/>
      <c r="D131" s="323"/>
      <c r="E131" s="323"/>
      <c r="F131" s="323"/>
      <c r="G131" s="321"/>
      <c r="H131" s="321"/>
      <c r="I131" s="321"/>
      <c r="J131" s="321"/>
      <c r="K131" s="320"/>
      <c r="L131" s="325"/>
    </row>
    <row r="132" spans="1:12" x14ac:dyDescent="0.3">
      <c r="A132" s="322"/>
      <c r="B132" s="323"/>
      <c r="C132" s="323"/>
      <c r="D132" s="323"/>
      <c r="E132" s="323"/>
      <c r="F132" s="323"/>
      <c r="G132" s="321"/>
      <c r="H132" s="321"/>
      <c r="I132" s="321"/>
      <c r="J132" s="321"/>
      <c r="K132" s="320"/>
      <c r="L132" s="325"/>
    </row>
    <row r="133" spans="1:12" x14ac:dyDescent="0.3">
      <c r="A133" s="322"/>
      <c r="B133" s="323"/>
      <c r="C133" s="323"/>
      <c r="D133" s="323"/>
      <c r="E133" s="323"/>
      <c r="F133" s="323"/>
      <c r="G133" s="321"/>
      <c r="H133" s="321"/>
      <c r="I133" s="321"/>
      <c r="J133" s="321"/>
      <c r="K133" s="320"/>
      <c r="L133" s="325"/>
    </row>
    <row r="134" spans="1:12" x14ac:dyDescent="0.3">
      <c r="A134" s="322"/>
      <c r="B134" s="323"/>
      <c r="C134" s="323"/>
      <c r="D134" s="323"/>
      <c r="E134" s="323"/>
      <c r="F134" s="323"/>
      <c r="G134" s="321"/>
      <c r="H134" s="321"/>
      <c r="I134" s="321"/>
      <c r="J134" s="321"/>
      <c r="K134" s="320"/>
      <c r="L134" s="325"/>
    </row>
    <row r="135" spans="1:12" x14ac:dyDescent="0.3">
      <c r="A135" s="322"/>
      <c r="B135" s="323"/>
      <c r="C135" s="323"/>
      <c r="D135" s="323"/>
      <c r="E135" s="323"/>
      <c r="F135" s="323"/>
      <c r="G135" s="321"/>
      <c r="H135" s="321"/>
      <c r="I135" s="321"/>
      <c r="J135" s="321"/>
      <c r="K135" s="320"/>
      <c r="L135" s="325"/>
    </row>
    <row r="136" spans="1:12" x14ac:dyDescent="0.3">
      <c r="A136" s="322"/>
      <c r="B136" s="323"/>
      <c r="C136" s="323"/>
      <c r="D136" s="323"/>
      <c r="E136" s="323"/>
      <c r="F136" s="323"/>
      <c r="G136" s="321"/>
      <c r="H136" s="321"/>
      <c r="I136" s="321"/>
      <c r="J136" s="321"/>
      <c r="K136" s="320"/>
      <c r="L136" s="325"/>
    </row>
    <row r="137" spans="1:12" x14ac:dyDescent="0.3">
      <c r="A137" s="322"/>
      <c r="B137" s="323"/>
      <c r="C137" s="323"/>
      <c r="D137" s="323"/>
      <c r="E137" s="323"/>
      <c r="F137" s="323"/>
      <c r="G137" s="321"/>
      <c r="H137" s="321"/>
      <c r="I137" s="321"/>
      <c r="J137" s="321"/>
      <c r="K137" s="320"/>
      <c r="L137" s="325"/>
    </row>
    <row r="138" spans="1:12" x14ac:dyDescent="0.3">
      <c r="A138" s="322"/>
      <c r="B138" s="323"/>
      <c r="C138" s="323"/>
      <c r="D138" s="323"/>
      <c r="E138" s="323"/>
      <c r="F138" s="323"/>
      <c r="G138" s="321"/>
      <c r="H138" s="321"/>
      <c r="I138" s="321"/>
      <c r="J138" s="321"/>
      <c r="K138" s="320"/>
      <c r="L138" s="325"/>
    </row>
    <row r="139" spans="1:12" x14ac:dyDescent="0.3">
      <c r="A139" s="322"/>
      <c r="B139" s="323"/>
      <c r="C139" s="323"/>
      <c r="D139" s="323"/>
      <c r="E139" s="323"/>
      <c r="F139" s="323"/>
      <c r="G139" s="321"/>
      <c r="H139" s="321"/>
      <c r="I139" s="321"/>
      <c r="J139" s="321"/>
      <c r="K139" s="320"/>
      <c r="L139" s="325"/>
    </row>
    <row r="140" spans="1:12" x14ac:dyDescent="0.3">
      <c r="A140" s="322"/>
      <c r="B140" s="323"/>
      <c r="C140" s="323"/>
      <c r="D140" s="323"/>
      <c r="E140" s="323"/>
      <c r="F140" s="323"/>
      <c r="G140" s="321"/>
      <c r="H140" s="321"/>
      <c r="I140" s="321"/>
      <c r="J140" s="321"/>
      <c r="K140" s="320"/>
      <c r="L140" s="325"/>
    </row>
    <row r="141" spans="1:12" x14ac:dyDescent="0.3">
      <c r="A141" s="322"/>
      <c r="B141" s="323"/>
      <c r="C141" s="323"/>
      <c r="D141" s="323"/>
      <c r="E141" s="323"/>
      <c r="F141" s="323"/>
      <c r="G141" s="321"/>
      <c r="H141" s="321"/>
      <c r="I141" s="321"/>
      <c r="J141" s="321"/>
      <c r="K141" s="320"/>
      <c r="L141" s="325"/>
    </row>
    <row r="142" spans="1:12" x14ac:dyDescent="0.3">
      <c r="A142" s="322"/>
      <c r="B142" s="323"/>
      <c r="C142" s="323"/>
      <c r="D142" s="323"/>
      <c r="E142" s="323"/>
      <c r="F142" s="323"/>
      <c r="G142" s="321"/>
      <c r="H142" s="321"/>
      <c r="I142" s="321"/>
      <c r="J142" s="321"/>
      <c r="K142" s="320"/>
      <c r="L142" s="325"/>
    </row>
    <row r="143" spans="1:12" x14ac:dyDescent="0.3">
      <c r="A143" s="322"/>
      <c r="B143" s="323"/>
      <c r="C143" s="323"/>
      <c r="D143" s="323"/>
      <c r="E143" s="323"/>
      <c r="F143" s="323"/>
      <c r="G143" s="321"/>
      <c r="H143" s="321"/>
      <c r="I143" s="321"/>
      <c r="J143" s="321"/>
      <c r="K143" s="320"/>
      <c r="L143" s="325"/>
    </row>
    <row r="144" spans="1:12" x14ac:dyDescent="0.3">
      <c r="A144" s="322"/>
      <c r="B144" s="323"/>
      <c r="C144" s="323"/>
      <c r="D144" s="323"/>
      <c r="E144" s="323"/>
      <c r="F144" s="323"/>
      <c r="G144" s="321"/>
      <c r="H144" s="321"/>
      <c r="I144" s="321"/>
      <c r="J144" s="321"/>
      <c r="K144" s="320"/>
      <c r="L144" s="325"/>
    </row>
    <row r="145" spans="1:12" x14ac:dyDescent="0.3">
      <c r="A145" s="322"/>
      <c r="B145" s="323"/>
      <c r="C145" s="323"/>
      <c r="D145" s="323"/>
      <c r="E145" s="323"/>
      <c r="F145" s="323"/>
      <c r="G145" s="321"/>
      <c r="H145" s="321"/>
      <c r="I145" s="321"/>
      <c r="J145" s="321"/>
      <c r="K145" s="320"/>
      <c r="L145" s="325"/>
    </row>
    <row r="146" spans="1:12" x14ac:dyDescent="0.3">
      <c r="A146" s="322"/>
      <c r="B146" s="323"/>
      <c r="C146" s="323"/>
      <c r="D146" s="323"/>
      <c r="E146" s="323"/>
      <c r="F146" s="323"/>
      <c r="G146" s="321"/>
      <c r="H146" s="321"/>
      <c r="I146" s="321"/>
      <c r="J146" s="321"/>
      <c r="K146" s="320"/>
      <c r="L146" s="325"/>
    </row>
    <row r="147" spans="1:12" x14ac:dyDescent="0.3">
      <c r="A147" s="322"/>
      <c r="B147" s="323"/>
      <c r="C147" s="323"/>
      <c r="D147" s="323"/>
      <c r="E147" s="323"/>
      <c r="F147" s="323"/>
      <c r="G147" s="321"/>
      <c r="H147" s="321"/>
      <c r="I147" s="321"/>
      <c r="J147" s="321"/>
      <c r="K147" s="320"/>
      <c r="L147" s="325"/>
    </row>
    <row r="148" spans="1:12" x14ac:dyDescent="0.3">
      <c r="A148" s="322"/>
      <c r="B148" s="323"/>
      <c r="C148" s="323"/>
      <c r="D148" s="323"/>
      <c r="E148" s="323"/>
      <c r="F148" s="323"/>
      <c r="G148" s="321"/>
      <c r="H148" s="321"/>
      <c r="I148" s="321"/>
      <c r="J148" s="321"/>
      <c r="K148" s="320"/>
      <c r="L148" s="325"/>
    </row>
    <row r="149" spans="1:12" x14ac:dyDescent="0.3">
      <c r="A149" s="322"/>
      <c r="B149" s="323"/>
      <c r="C149" s="323"/>
      <c r="D149" s="323"/>
      <c r="E149" s="323"/>
      <c r="F149" s="323"/>
      <c r="G149" s="321"/>
      <c r="H149" s="321"/>
      <c r="I149" s="321"/>
      <c r="J149" s="321"/>
      <c r="K149" s="320"/>
      <c r="L149" s="325"/>
    </row>
    <row r="150" spans="1:12" x14ac:dyDescent="0.3">
      <c r="A150" s="322"/>
      <c r="B150" s="323"/>
      <c r="C150" s="323"/>
      <c r="D150" s="323"/>
      <c r="E150" s="323"/>
      <c r="F150" s="323"/>
      <c r="G150" s="321"/>
      <c r="H150" s="321"/>
      <c r="I150" s="321"/>
      <c r="J150" s="321"/>
      <c r="K150" s="320"/>
      <c r="L150" s="325"/>
    </row>
    <row r="151" spans="1:12" x14ac:dyDescent="0.3">
      <c r="A151" s="322"/>
      <c r="B151" s="323"/>
      <c r="C151" s="323"/>
      <c r="D151" s="323"/>
      <c r="E151" s="323"/>
      <c r="F151" s="323"/>
      <c r="G151" s="321"/>
      <c r="H151" s="321"/>
      <c r="I151" s="321"/>
      <c r="J151" s="321"/>
      <c r="K151" s="320"/>
      <c r="L151" s="325"/>
    </row>
    <row r="152" spans="1:12" x14ac:dyDescent="0.3">
      <c r="A152" s="322"/>
      <c r="B152" s="323"/>
      <c r="C152" s="323"/>
      <c r="D152" s="323"/>
      <c r="E152" s="323"/>
      <c r="F152" s="323"/>
      <c r="G152" s="321"/>
      <c r="H152" s="321"/>
      <c r="I152" s="321"/>
      <c r="J152" s="321"/>
      <c r="K152" s="320"/>
      <c r="L152" s="325"/>
    </row>
  </sheetData>
  <sheetProtection algorithmName="SHA-512" hashValue="XwDcgfd3cKI9Pu73aVNbQfzNnnyK4Sm0LA8bEF85yHBBs8jn27B7jH3oOe5v9fiPOg6fmvpiV5ER4zEH9vRFaA==" saltValue="9VI8zbcu+XCavLXuTiAksg==" spinCount="100000" sheet="1" objects="1" scenarios="1"/>
  <mergeCells count="2">
    <mergeCell ref="B1:C1"/>
    <mergeCell ref="D1:I4"/>
  </mergeCells>
  <dataValidations count="5">
    <dataValidation type="list" showInputMessage="1" sqref="B9" xr:uid="{00000000-0002-0000-0200-000000000000}">
      <formula1>ddl_HandlerName</formula1>
    </dataValidation>
    <dataValidation type="list" showInputMessage="1" sqref="C7:C9" xr:uid="{00000000-0002-0000-0200-000001000000}">
      <formula1>ddl_FederalOrder</formula1>
    </dataValidation>
    <dataValidation type="list" allowBlank="1" showInputMessage="1" sqref="C10:C152" xr:uid="{00000000-0002-0000-0200-000002000000}">
      <formula1>ddl_FederalOrder</formula1>
    </dataValidation>
    <dataValidation type="list" allowBlank="1" showInputMessage="1" sqref="B10:B152" xr:uid="{00000000-0002-0000-0200-000003000000}">
      <formula1>ddl_HandlerName</formula1>
    </dataValidation>
    <dataValidation type="list" allowBlank="1" showInputMessage="1" sqref="F7:F152" xr:uid="{00000000-0002-0000-0200-000004000000}">
      <formula1>ddl_ProductClass</formula1>
    </dataValidation>
  </dataValidations>
  <pageMargins left="0.17" right="0.17" top="0.75" bottom="0.75" header="0.3" footer="0.3"/>
  <pageSetup scale="62" fitToHeight="2"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xr:uid="{00000000-0002-0000-0200-000005000000}">
          <x14:formula1>
            <xm:f>IF(Summary!$K$10 = "9C",Receipts_ProductTypeCoop,Receipts_ProductType)</xm:f>
          </x14:formula1>
          <xm:sqref>D7:D152</xm:sqref>
        </x14:dataValidation>
        <x14:dataValidation type="list" allowBlank="1" xr:uid="{00000000-0002-0000-0200-000006000000}">
          <x14:formula1>
            <xm:f>IF(Summary!$K$10 = "9C",Receipts_ReportCategoryCoop,Receipts_ReportCategory)</xm:f>
          </x14:formula1>
          <xm:sqref>A7:A152</xm:sqref>
        </x14:dataValidation>
        <x14:dataValidation type="list" allowBlank="1" showInputMessage="1" xr:uid="{00000000-0002-0000-0200-000007000000}">
          <x14:formula1>
            <xm:f>IF(Summary!$K$10 = "9C",Receipts_ProductCodeCoop,Receipts_ProductCode)</xm:f>
          </x14:formula1>
          <xm:sqref>E7:E152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59"/>
  <sheetViews>
    <sheetView showGridLines="0" zoomScaleNormal="100" workbookViewId="0">
      <pane ySplit="6" topLeftCell="A7" activePane="bottomLeft" state="frozen"/>
      <selection pane="bottomLeft" activeCell="L26" sqref="L26"/>
    </sheetView>
  </sheetViews>
  <sheetFormatPr defaultRowHeight="14.4" x14ac:dyDescent="0.3"/>
  <cols>
    <col min="1" max="1" width="20.88671875" style="261" customWidth="1"/>
    <col min="2" max="2" width="41.109375" style="261" customWidth="1"/>
    <col min="3" max="3" width="11.6640625" style="261" customWidth="1"/>
    <col min="4" max="4" width="17.88671875" style="261" customWidth="1"/>
    <col min="5" max="5" width="20.88671875" style="261" customWidth="1"/>
    <col min="6" max="6" width="13.5546875" style="261" customWidth="1"/>
    <col min="7" max="7" width="17.44140625" style="261" customWidth="1"/>
    <col min="8" max="8" width="15.6640625" style="261" customWidth="1"/>
    <col min="9" max="9" width="17.88671875" style="261" hidden="1" customWidth="1"/>
    <col min="10" max="10" width="15.5546875" style="261" hidden="1" customWidth="1"/>
    <col min="11" max="11" width="15.5546875" style="261" customWidth="1"/>
    <col min="12" max="12" width="30.44140625" style="261" customWidth="1"/>
  </cols>
  <sheetData>
    <row r="1" spans="1:13" ht="28.2" customHeight="1" x14ac:dyDescent="0.3">
      <c r="A1" s="53" t="s">
        <v>113</v>
      </c>
      <c r="B1" s="360" t="str">
        <f>IF(rng_Handler="","",rng_Handler)</f>
        <v/>
      </c>
      <c r="C1" s="361"/>
      <c r="D1" s="362" t="s">
        <v>162</v>
      </c>
      <c r="E1" s="339"/>
      <c r="F1" s="339"/>
      <c r="G1" s="339"/>
      <c r="H1" s="339"/>
      <c r="I1" s="339"/>
      <c r="J1" s="31"/>
      <c r="K1"/>
      <c r="L1"/>
    </row>
    <row r="2" spans="1:13" x14ac:dyDescent="0.3">
      <c r="A2" s="53" t="s">
        <v>115</v>
      </c>
      <c r="B2" s="54" t="str">
        <f>IF(Summary!B10="","",DATE(Summary!A10, Summary!B10, 10))</f>
        <v/>
      </c>
      <c r="C2" s="55"/>
      <c r="D2" s="339"/>
      <c r="E2" s="339"/>
      <c r="F2" s="339"/>
      <c r="G2" s="339"/>
      <c r="H2" s="339"/>
      <c r="I2" s="339"/>
      <c r="J2" s="45"/>
      <c r="K2"/>
      <c r="L2"/>
    </row>
    <row r="3" spans="1:13" x14ac:dyDescent="0.3">
      <c r="A3" s="53" t="s">
        <v>114</v>
      </c>
      <c r="B3" s="56">
        <f>Summary!C10</f>
        <v>51</v>
      </c>
      <c r="C3" s="55"/>
      <c r="D3" s="339"/>
      <c r="E3" s="339"/>
      <c r="F3" s="339"/>
      <c r="G3" s="339"/>
      <c r="H3" s="339"/>
      <c r="I3" s="339"/>
      <c r="J3" s="45"/>
      <c r="K3"/>
      <c r="L3"/>
    </row>
    <row r="4" spans="1:13" x14ac:dyDescent="0.3">
      <c r="A4" s="53" t="s">
        <v>181</v>
      </c>
      <c r="B4" s="56" t="str">
        <f>Summary!A10 &amp;"  "&amp; Summary!B10</f>
        <v xml:space="preserve">  </v>
      </c>
      <c r="C4" s="61"/>
      <c r="D4" s="339"/>
      <c r="E4" s="339"/>
      <c r="F4" s="339"/>
      <c r="G4" s="339"/>
      <c r="H4" s="339"/>
      <c r="I4" s="339"/>
      <c r="J4"/>
      <c r="K4"/>
      <c r="L4"/>
    </row>
    <row r="5" spans="1:13" ht="31.2" customHeight="1" x14ac:dyDescent="0.35">
      <c r="A5"/>
      <c r="B5"/>
      <c r="C5"/>
      <c r="D5"/>
      <c r="E5"/>
      <c r="F5" s="330" t="s">
        <v>454</v>
      </c>
      <c r="G5" s="331">
        <f>SUM(tbl_Utilization[Product Pounds])</f>
        <v>0</v>
      </c>
      <c r="H5" s="332">
        <f>SUM(tbl_Utilization[Butterfat 
Pounds])</f>
        <v>0</v>
      </c>
      <c r="I5" s="41">
        <f>SUM(tbl_Utilization[Protein 
Pounds])</f>
        <v>0</v>
      </c>
      <c r="J5" s="42">
        <f>SUM(tbl_Utilization[Other Solid 
Pounds])</f>
        <v>0</v>
      </c>
      <c r="K5"/>
      <c r="L5"/>
    </row>
    <row r="6" spans="1:13" ht="36" customHeight="1" x14ac:dyDescent="0.3">
      <c r="A6" s="162" t="s">
        <v>116</v>
      </c>
      <c r="B6" s="162" t="s">
        <v>164</v>
      </c>
      <c r="C6" s="162" t="s">
        <v>165</v>
      </c>
      <c r="D6" s="162" t="s">
        <v>124</v>
      </c>
      <c r="E6" s="162" t="s">
        <v>123</v>
      </c>
      <c r="F6" s="162" t="s">
        <v>128</v>
      </c>
      <c r="G6" s="161" t="s">
        <v>163</v>
      </c>
      <c r="H6" s="161" t="s">
        <v>120</v>
      </c>
      <c r="I6" s="161" t="s">
        <v>121</v>
      </c>
      <c r="J6" s="161" t="s">
        <v>122</v>
      </c>
      <c r="K6" s="162" t="s">
        <v>117</v>
      </c>
      <c r="L6" s="162" t="s">
        <v>118</v>
      </c>
    </row>
    <row r="7" spans="1:13" ht="16.5" customHeight="1" x14ac:dyDescent="0.3">
      <c r="A7" s="175" t="s">
        <v>256</v>
      </c>
      <c r="B7" s="176" t="str">
        <f>IF(Summary!G10="","",Summary!G10)</f>
        <v/>
      </c>
      <c r="C7" s="177">
        <v>51</v>
      </c>
      <c r="D7" s="177" t="s">
        <v>260</v>
      </c>
      <c r="E7" s="177" t="s">
        <v>236</v>
      </c>
      <c r="F7" s="177">
        <v>1</v>
      </c>
      <c r="G7" s="178">
        <f>'Total Area Sales'!C11</f>
        <v>0</v>
      </c>
      <c r="H7" s="178">
        <f>'Total Area Sales'!D11</f>
        <v>0</v>
      </c>
      <c r="I7" s="179"/>
      <c r="J7" s="179"/>
      <c r="K7" s="180"/>
      <c r="L7" s="325" t="s">
        <v>471</v>
      </c>
    </row>
    <row r="8" spans="1:13" s="172" customFormat="1" ht="27" x14ac:dyDescent="0.3">
      <c r="A8" s="175" t="s">
        <v>188</v>
      </c>
      <c r="B8" s="176" t="str">
        <f>IF(Summary!G10="","",Summary!G10)</f>
        <v/>
      </c>
      <c r="C8" s="177">
        <v>51</v>
      </c>
      <c r="D8" s="177" t="s">
        <v>193</v>
      </c>
      <c r="E8" s="177" t="s">
        <v>191</v>
      </c>
      <c r="F8" s="177">
        <v>2</v>
      </c>
      <c r="G8" s="178">
        <f>'Accountability for NFDM'!J70</f>
        <v>0</v>
      </c>
      <c r="H8" s="178">
        <f>'Accountability for NFDM'!K70</f>
        <v>0</v>
      </c>
      <c r="I8" s="179"/>
      <c r="J8" s="179"/>
      <c r="K8" s="180"/>
      <c r="L8" s="325" t="s">
        <v>470</v>
      </c>
    </row>
    <row r="9" spans="1:13" ht="27" x14ac:dyDescent="0.3">
      <c r="A9" s="175" t="s">
        <v>188</v>
      </c>
      <c r="B9" s="176" t="str">
        <f>IF(Summary!G10="","",Summary!G10)</f>
        <v/>
      </c>
      <c r="C9" s="177">
        <v>51</v>
      </c>
      <c r="D9" s="177" t="s">
        <v>193</v>
      </c>
      <c r="E9" s="177" t="s">
        <v>191</v>
      </c>
      <c r="F9" s="177">
        <v>3</v>
      </c>
      <c r="G9" s="178">
        <f>'Accountability for NFDM'!J74</f>
        <v>0</v>
      </c>
      <c r="H9" s="178">
        <f>'Accountability for NFDM'!K74</f>
        <v>0</v>
      </c>
      <c r="I9" s="179"/>
      <c r="J9" s="179"/>
      <c r="K9" s="180"/>
      <c r="L9" s="325" t="s">
        <v>488</v>
      </c>
    </row>
    <row r="10" spans="1:13" ht="27" x14ac:dyDescent="0.3">
      <c r="A10" s="175" t="s">
        <v>188</v>
      </c>
      <c r="B10" s="176" t="str">
        <f>IF(Summary!G10="","",Summary!G10)</f>
        <v/>
      </c>
      <c r="C10" s="177">
        <v>51</v>
      </c>
      <c r="D10" s="177" t="s">
        <v>193</v>
      </c>
      <c r="E10" s="177" t="s">
        <v>191</v>
      </c>
      <c r="F10" s="177">
        <v>4</v>
      </c>
      <c r="G10" s="178">
        <f>'Accountability for NFDM'!J78</f>
        <v>0</v>
      </c>
      <c r="H10" s="178">
        <f>'Accountability for NFDM'!K78</f>
        <v>0</v>
      </c>
      <c r="I10" s="179"/>
      <c r="J10" s="179"/>
      <c r="K10" s="180"/>
      <c r="L10" s="325" t="s">
        <v>489</v>
      </c>
    </row>
    <row r="11" spans="1:13" ht="27" x14ac:dyDescent="0.3">
      <c r="A11" s="175" t="s">
        <v>188</v>
      </c>
      <c r="B11" s="176" t="str">
        <f>IF(Summary!G10="","",Summary!G10)</f>
        <v/>
      </c>
      <c r="C11" s="177">
        <v>51</v>
      </c>
      <c r="D11" s="177" t="s">
        <v>193</v>
      </c>
      <c r="E11" s="177" t="s">
        <v>191</v>
      </c>
      <c r="F11" s="177">
        <v>4</v>
      </c>
      <c r="G11" s="178">
        <f>'Accountability for NFDM'!J66</f>
        <v>0</v>
      </c>
      <c r="H11" s="178">
        <f>'Accountability for NFDM'!K66</f>
        <v>0</v>
      </c>
      <c r="I11" s="179"/>
      <c r="J11" s="179"/>
      <c r="K11" s="180"/>
      <c r="L11" s="325" t="s">
        <v>473</v>
      </c>
      <c r="M11" s="46"/>
    </row>
    <row r="12" spans="1:13" x14ac:dyDescent="0.3">
      <c r="A12" s="175" t="s">
        <v>252</v>
      </c>
      <c r="B12" s="177" t="str">
        <f>IF(Summary!G10="","",Summary!G10)</f>
        <v/>
      </c>
      <c r="C12" s="177">
        <v>51</v>
      </c>
      <c r="D12" s="177" t="s">
        <v>246</v>
      </c>
      <c r="E12" s="177" t="s">
        <v>204</v>
      </c>
      <c r="F12" s="177">
        <v>2</v>
      </c>
      <c r="G12" s="178">
        <f>'Cond. Skim Equiv Calculation'!J27</f>
        <v>0</v>
      </c>
      <c r="H12" s="178">
        <f>'Cond. Skim Equiv Calculation'!K27</f>
        <v>0</v>
      </c>
      <c r="I12" s="163"/>
      <c r="J12" s="163"/>
      <c r="K12" s="180"/>
      <c r="L12" s="325" t="s">
        <v>472</v>
      </c>
      <c r="M12" s="46"/>
    </row>
    <row r="13" spans="1:13" x14ac:dyDescent="0.3">
      <c r="A13" s="175" t="s">
        <v>252</v>
      </c>
      <c r="B13" s="177" t="str">
        <f>IF(Summary!G10="","",Summary!G10)</f>
        <v/>
      </c>
      <c r="C13" s="177">
        <v>51</v>
      </c>
      <c r="D13" s="177" t="s">
        <v>246</v>
      </c>
      <c r="E13" s="177" t="s">
        <v>204</v>
      </c>
      <c r="F13" s="177">
        <v>3</v>
      </c>
      <c r="G13" s="178">
        <f>'Cond. Skim Equiv Calculation'!L27</f>
        <v>0</v>
      </c>
      <c r="H13" s="178">
        <f>'Cond. Skim Equiv Calculation'!M27</f>
        <v>0</v>
      </c>
      <c r="I13" s="163"/>
      <c r="J13" s="163"/>
      <c r="K13" s="180"/>
      <c r="L13" s="325" t="s">
        <v>474</v>
      </c>
    </row>
    <row r="14" spans="1:13" x14ac:dyDescent="0.3">
      <c r="A14" s="175" t="s">
        <v>252</v>
      </c>
      <c r="B14" s="177" t="str">
        <f>IF(Summary!G10="","",Summary!G10)</f>
        <v/>
      </c>
      <c r="C14" s="177">
        <v>51</v>
      </c>
      <c r="D14" s="177" t="s">
        <v>246</v>
      </c>
      <c r="E14" s="177" t="s">
        <v>204</v>
      </c>
      <c r="F14" s="177">
        <v>4</v>
      </c>
      <c r="G14" s="178">
        <f>'Cond. Skim Equiv Calculation'!N27</f>
        <v>0</v>
      </c>
      <c r="H14" s="178">
        <f>'Cond. Skim Equiv Calculation'!O27</f>
        <v>0</v>
      </c>
      <c r="I14" s="163"/>
      <c r="J14" s="163"/>
      <c r="K14" s="210"/>
      <c r="L14" s="320" t="s">
        <v>475</v>
      </c>
    </row>
    <row r="15" spans="1:13" x14ac:dyDescent="0.3">
      <c r="A15" s="175" t="s">
        <v>252</v>
      </c>
      <c r="B15" s="177" t="str">
        <f>IF(Summary!G10="","",Summary!G10)</f>
        <v/>
      </c>
      <c r="C15" s="177">
        <v>51</v>
      </c>
      <c r="D15" s="177" t="s">
        <v>246</v>
      </c>
      <c r="E15" s="177" t="s">
        <v>204</v>
      </c>
      <c r="F15" s="177">
        <v>4</v>
      </c>
      <c r="G15" s="178">
        <f>'Cond. Skim Equiv Calculation'!Q27</f>
        <v>0</v>
      </c>
      <c r="H15" s="178">
        <f>'Cond. Skim Equiv Calculation'!R27</f>
        <v>0</v>
      </c>
      <c r="I15" s="163"/>
      <c r="J15" s="163"/>
      <c r="K15" s="210"/>
      <c r="L15" s="320" t="s">
        <v>678</v>
      </c>
    </row>
    <row r="16" spans="1:13" x14ac:dyDescent="0.3">
      <c r="A16" s="322" t="s">
        <v>253</v>
      </c>
      <c r="B16" s="323"/>
      <c r="C16" s="323">
        <v>51</v>
      </c>
      <c r="D16" s="323" t="s">
        <v>260</v>
      </c>
      <c r="E16" s="323" t="s">
        <v>236</v>
      </c>
      <c r="F16" s="323">
        <v>1</v>
      </c>
      <c r="G16" s="321"/>
      <c r="H16" s="321"/>
      <c r="I16" s="324"/>
      <c r="J16" s="324"/>
      <c r="K16" s="320"/>
      <c r="L16" s="325"/>
    </row>
    <row r="17" spans="1:12" x14ac:dyDescent="0.3">
      <c r="A17" s="322" t="s">
        <v>253</v>
      </c>
      <c r="B17" s="323"/>
      <c r="C17" s="323">
        <v>51</v>
      </c>
      <c r="D17" s="323" t="s">
        <v>200</v>
      </c>
      <c r="E17" s="323" t="s">
        <v>200</v>
      </c>
      <c r="F17" s="323">
        <v>4</v>
      </c>
      <c r="G17" s="321"/>
      <c r="H17" s="321"/>
      <c r="I17" s="324"/>
      <c r="J17" s="324"/>
      <c r="K17" s="320"/>
      <c r="L17" s="325"/>
    </row>
    <row r="18" spans="1:12" x14ac:dyDescent="0.3">
      <c r="A18" s="322" t="s">
        <v>253</v>
      </c>
      <c r="B18" s="323"/>
      <c r="C18" s="323">
        <v>51</v>
      </c>
      <c r="D18" s="323" t="s">
        <v>199</v>
      </c>
      <c r="E18" s="323" t="s">
        <v>200</v>
      </c>
      <c r="F18" s="323">
        <v>4</v>
      </c>
      <c r="G18" s="321"/>
      <c r="H18" s="321"/>
      <c r="I18" s="324"/>
      <c r="J18" s="324"/>
      <c r="K18" s="320"/>
      <c r="L18" s="325"/>
    </row>
    <row r="19" spans="1:12" x14ac:dyDescent="0.3">
      <c r="A19" s="322" t="s">
        <v>253</v>
      </c>
      <c r="B19" s="323"/>
      <c r="C19" s="323">
        <v>51</v>
      </c>
      <c r="D19" s="323" t="s">
        <v>246</v>
      </c>
      <c r="E19" s="323" t="s">
        <v>204</v>
      </c>
      <c r="F19" s="323">
        <v>4</v>
      </c>
      <c r="G19" s="321"/>
      <c r="H19" s="321"/>
      <c r="I19" s="324"/>
      <c r="J19" s="324"/>
      <c r="K19" s="320"/>
      <c r="L19" s="325"/>
    </row>
    <row r="20" spans="1:12" x14ac:dyDescent="0.3">
      <c r="A20" s="322" t="s">
        <v>257</v>
      </c>
      <c r="B20" s="323"/>
      <c r="C20" s="323"/>
      <c r="D20" s="323" t="s">
        <v>199</v>
      </c>
      <c r="E20" s="323" t="s">
        <v>199</v>
      </c>
      <c r="F20" s="323"/>
      <c r="G20" s="321"/>
      <c r="H20" s="321"/>
      <c r="I20" s="324"/>
      <c r="J20" s="324"/>
      <c r="K20" s="320"/>
      <c r="L20" s="325"/>
    </row>
    <row r="21" spans="1:12" x14ac:dyDescent="0.3">
      <c r="A21" s="322" t="s">
        <v>258</v>
      </c>
      <c r="B21" s="323"/>
      <c r="C21" s="323"/>
      <c r="D21" s="323" t="s">
        <v>260</v>
      </c>
      <c r="E21" s="323" t="s">
        <v>236</v>
      </c>
      <c r="F21" s="323">
        <v>1</v>
      </c>
      <c r="G21" s="321"/>
      <c r="H21" s="321"/>
      <c r="I21" s="324"/>
      <c r="J21" s="324"/>
      <c r="K21" s="320"/>
      <c r="L21" s="325"/>
    </row>
    <row r="22" spans="1:12" ht="27" x14ac:dyDescent="0.3">
      <c r="A22" s="322" t="s">
        <v>188</v>
      </c>
      <c r="B22" s="323"/>
      <c r="C22" s="323">
        <v>51</v>
      </c>
      <c r="D22" s="323" t="s">
        <v>193</v>
      </c>
      <c r="E22" s="323" t="s">
        <v>285</v>
      </c>
      <c r="F22" s="323"/>
      <c r="G22" s="321"/>
      <c r="H22" s="321"/>
      <c r="I22" s="324"/>
      <c r="J22" s="324"/>
      <c r="K22" s="320"/>
      <c r="L22" s="325" t="s">
        <v>682</v>
      </c>
    </row>
    <row r="23" spans="1:12" ht="27" x14ac:dyDescent="0.3">
      <c r="A23" s="322" t="s">
        <v>188</v>
      </c>
      <c r="B23" s="323"/>
      <c r="C23" s="323">
        <v>51</v>
      </c>
      <c r="D23" s="323" t="s">
        <v>193</v>
      </c>
      <c r="E23" s="323" t="s">
        <v>285</v>
      </c>
      <c r="F23" s="323"/>
      <c r="G23" s="321"/>
      <c r="H23" s="321"/>
      <c r="I23" s="324"/>
      <c r="J23" s="324"/>
      <c r="K23" s="320"/>
      <c r="L23" s="325" t="s">
        <v>683</v>
      </c>
    </row>
    <row r="24" spans="1:12" ht="27" x14ac:dyDescent="0.3">
      <c r="A24" s="322" t="s">
        <v>188</v>
      </c>
      <c r="B24" s="326"/>
      <c r="C24" s="327">
        <v>51</v>
      </c>
      <c r="D24" s="323" t="s">
        <v>193</v>
      </c>
      <c r="E24" s="323" t="s">
        <v>275</v>
      </c>
      <c r="F24" s="327"/>
      <c r="G24" s="321"/>
      <c r="H24" s="321"/>
      <c r="I24" s="324"/>
      <c r="J24" s="324"/>
      <c r="K24" s="320"/>
      <c r="L24" s="325" t="s">
        <v>682</v>
      </c>
    </row>
    <row r="25" spans="1:12" ht="27" x14ac:dyDescent="0.3">
      <c r="A25" s="322" t="s">
        <v>188</v>
      </c>
      <c r="B25" s="326"/>
      <c r="C25" s="327">
        <v>51</v>
      </c>
      <c r="D25" s="323" t="s">
        <v>193</v>
      </c>
      <c r="E25" s="323" t="s">
        <v>275</v>
      </c>
      <c r="F25" s="327"/>
      <c r="G25" s="321"/>
      <c r="H25" s="321"/>
      <c r="I25" s="324"/>
      <c r="J25" s="324"/>
      <c r="K25" s="320"/>
      <c r="L25" s="325" t="s">
        <v>683</v>
      </c>
    </row>
    <row r="26" spans="1:12" x14ac:dyDescent="0.3">
      <c r="A26" s="322"/>
      <c r="B26" s="326"/>
      <c r="C26" s="327"/>
      <c r="D26" s="323"/>
      <c r="E26" s="323"/>
      <c r="F26" s="327"/>
      <c r="G26" s="321"/>
      <c r="H26" s="321"/>
      <c r="I26" s="324"/>
      <c r="J26" s="324"/>
      <c r="K26" s="320"/>
      <c r="L26" s="325"/>
    </row>
    <row r="27" spans="1:12" x14ac:dyDescent="0.3">
      <c r="A27" s="322"/>
      <c r="B27" s="323"/>
      <c r="C27" s="323"/>
      <c r="D27" s="323"/>
      <c r="E27" s="323"/>
      <c r="F27" s="323"/>
      <c r="G27" s="321"/>
      <c r="H27" s="321"/>
      <c r="I27" s="324"/>
      <c r="J27" s="324"/>
      <c r="K27" s="320"/>
      <c r="L27" s="325"/>
    </row>
    <row r="28" spans="1:12" x14ac:dyDescent="0.3">
      <c r="A28" s="322"/>
      <c r="B28" s="323"/>
      <c r="C28" s="323"/>
      <c r="D28" s="323"/>
      <c r="E28" s="323"/>
      <c r="F28" s="323"/>
      <c r="G28" s="321"/>
      <c r="H28" s="321"/>
      <c r="I28" s="324"/>
      <c r="J28" s="324"/>
      <c r="K28" s="320"/>
      <c r="L28" s="320"/>
    </row>
    <row r="29" spans="1:12" x14ac:dyDescent="0.3">
      <c r="A29" s="322"/>
      <c r="B29" s="323"/>
      <c r="C29" s="323"/>
      <c r="D29" s="323"/>
      <c r="E29" s="323"/>
      <c r="F29" s="323"/>
      <c r="G29" s="321"/>
      <c r="H29" s="321"/>
      <c r="I29" s="324"/>
      <c r="J29" s="324"/>
      <c r="K29" s="320"/>
      <c r="L29" s="320"/>
    </row>
    <row r="30" spans="1:12" x14ac:dyDescent="0.3">
      <c r="A30" s="322"/>
      <c r="B30" s="323"/>
      <c r="C30" s="323"/>
      <c r="D30" s="323"/>
      <c r="E30" s="323"/>
      <c r="F30" s="323"/>
      <c r="G30" s="321"/>
      <c r="H30" s="321"/>
      <c r="I30" s="324"/>
      <c r="J30" s="324"/>
      <c r="K30" s="320"/>
      <c r="L30" s="325"/>
    </row>
    <row r="31" spans="1:12" x14ac:dyDescent="0.3">
      <c r="A31" s="322"/>
      <c r="B31" s="323"/>
      <c r="C31" s="323"/>
      <c r="D31" s="323"/>
      <c r="E31" s="323"/>
      <c r="F31" s="323"/>
      <c r="G31" s="321"/>
      <c r="H31" s="321"/>
      <c r="I31" s="324"/>
      <c r="J31" s="324"/>
      <c r="K31" s="320"/>
      <c r="L31" s="325"/>
    </row>
    <row r="32" spans="1:12" x14ac:dyDescent="0.3">
      <c r="A32" s="322"/>
      <c r="B32" s="323"/>
      <c r="C32" s="323"/>
      <c r="D32" s="323"/>
      <c r="E32" s="323"/>
      <c r="F32" s="323"/>
      <c r="G32" s="321"/>
      <c r="H32" s="321"/>
      <c r="I32" s="324"/>
      <c r="J32" s="324"/>
      <c r="K32" s="320"/>
      <c r="L32" s="325"/>
    </row>
    <row r="33" spans="1:12" x14ac:dyDescent="0.3">
      <c r="A33" s="322"/>
      <c r="B33" s="323"/>
      <c r="C33" s="323"/>
      <c r="D33" s="323"/>
      <c r="E33" s="323"/>
      <c r="F33" s="323"/>
      <c r="G33" s="321"/>
      <c r="H33" s="321"/>
      <c r="I33" s="324"/>
      <c r="J33" s="324"/>
      <c r="K33" s="320"/>
      <c r="L33" s="325"/>
    </row>
    <row r="34" spans="1:12" x14ac:dyDescent="0.3">
      <c r="A34" s="322"/>
      <c r="B34" s="323"/>
      <c r="C34" s="323"/>
      <c r="D34" s="323"/>
      <c r="E34" s="323"/>
      <c r="F34" s="323"/>
      <c r="G34" s="321"/>
      <c r="H34" s="321"/>
      <c r="I34" s="324"/>
      <c r="J34" s="324"/>
      <c r="K34" s="320"/>
      <c r="L34" s="325"/>
    </row>
    <row r="35" spans="1:12" x14ac:dyDescent="0.3">
      <c r="A35" s="322"/>
      <c r="B35" s="323"/>
      <c r="C35" s="323"/>
      <c r="D35" s="323"/>
      <c r="E35" s="323"/>
      <c r="F35" s="323"/>
      <c r="G35" s="321"/>
      <c r="H35" s="321"/>
      <c r="I35" s="324"/>
      <c r="J35" s="324"/>
      <c r="K35" s="320"/>
      <c r="L35" s="325"/>
    </row>
    <row r="36" spans="1:12" x14ac:dyDescent="0.3">
      <c r="A36" s="322"/>
      <c r="B36" s="323"/>
      <c r="C36" s="323"/>
      <c r="D36" s="323"/>
      <c r="E36" s="323"/>
      <c r="F36" s="323"/>
      <c r="G36" s="321"/>
      <c r="H36" s="321"/>
      <c r="I36" s="324"/>
      <c r="J36" s="324"/>
      <c r="K36" s="320"/>
      <c r="L36" s="325"/>
    </row>
    <row r="37" spans="1:12" x14ac:dyDescent="0.3">
      <c r="A37" s="322"/>
      <c r="B37" s="323"/>
      <c r="C37" s="323"/>
      <c r="D37" s="323"/>
      <c r="E37" s="323"/>
      <c r="F37" s="323"/>
      <c r="G37" s="321"/>
      <c r="H37" s="321"/>
      <c r="I37" s="324"/>
      <c r="J37" s="324"/>
      <c r="K37" s="320"/>
      <c r="L37" s="325"/>
    </row>
    <row r="38" spans="1:12" x14ac:dyDescent="0.3">
      <c r="A38" s="322"/>
      <c r="B38" s="323"/>
      <c r="C38" s="323"/>
      <c r="D38" s="323"/>
      <c r="E38" s="323"/>
      <c r="F38" s="323"/>
      <c r="G38" s="321"/>
      <c r="H38" s="321"/>
      <c r="I38" s="324"/>
      <c r="J38" s="324"/>
      <c r="K38" s="320"/>
      <c r="L38" s="325"/>
    </row>
    <row r="39" spans="1:12" x14ac:dyDescent="0.3">
      <c r="A39" s="322"/>
      <c r="B39" s="323"/>
      <c r="C39" s="323"/>
      <c r="D39" s="323"/>
      <c r="E39" s="323"/>
      <c r="F39" s="323"/>
      <c r="G39" s="321"/>
      <c r="H39" s="321"/>
      <c r="I39" s="324"/>
      <c r="J39" s="324"/>
      <c r="K39" s="320"/>
      <c r="L39" s="325"/>
    </row>
    <row r="40" spans="1:12" x14ac:dyDescent="0.3">
      <c r="A40" s="322"/>
      <c r="B40" s="323"/>
      <c r="C40" s="323"/>
      <c r="D40" s="323"/>
      <c r="E40" s="323"/>
      <c r="F40" s="323"/>
      <c r="G40" s="321"/>
      <c r="H40" s="321"/>
      <c r="I40" s="324"/>
      <c r="J40" s="324"/>
      <c r="K40" s="320"/>
      <c r="L40" s="325"/>
    </row>
    <row r="41" spans="1:12" x14ac:dyDescent="0.3">
      <c r="A41" s="322"/>
      <c r="B41" s="323"/>
      <c r="C41" s="323"/>
      <c r="D41" s="323"/>
      <c r="E41" s="323"/>
      <c r="F41" s="323"/>
      <c r="G41" s="321"/>
      <c r="H41" s="321"/>
      <c r="I41" s="324"/>
      <c r="J41" s="324"/>
      <c r="K41" s="320"/>
      <c r="L41" s="325"/>
    </row>
    <row r="42" spans="1:12" x14ac:dyDescent="0.3">
      <c r="A42" s="322"/>
      <c r="B42" s="323"/>
      <c r="C42" s="323"/>
      <c r="D42" s="323"/>
      <c r="E42" s="323"/>
      <c r="F42" s="323"/>
      <c r="G42" s="321"/>
      <c r="H42" s="321"/>
      <c r="I42" s="324"/>
      <c r="J42" s="324"/>
      <c r="K42" s="320"/>
      <c r="L42" s="325"/>
    </row>
    <row r="43" spans="1:12" x14ac:dyDescent="0.3">
      <c r="A43" s="322"/>
      <c r="B43" s="323"/>
      <c r="C43" s="323"/>
      <c r="D43" s="323"/>
      <c r="E43" s="323"/>
      <c r="F43" s="323"/>
      <c r="G43" s="321"/>
      <c r="H43" s="321"/>
      <c r="I43" s="324"/>
      <c r="J43" s="324"/>
      <c r="K43" s="320"/>
      <c r="L43" s="325"/>
    </row>
    <row r="44" spans="1:12" x14ac:dyDescent="0.3">
      <c r="A44" s="322"/>
      <c r="B44" s="323"/>
      <c r="C44" s="323"/>
      <c r="D44" s="323"/>
      <c r="E44" s="323"/>
      <c r="F44" s="323"/>
      <c r="G44" s="321"/>
      <c r="H44" s="321"/>
      <c r="I44" s="324"/>
      <c r="J44" s="324"/>
      <c r="K44" s="320"/>
      <c r="L44" s="320"/>
    </row>
    <row r="45" spans="1:12" x14ac:dyDescent="0.3">
      <c r="A45" s="322"/>
      <c r="B45" s="323"/>
      <c r="C45" s="323"/>
      <c r="D45" s="323"/>
      <c r="E45" s="323"/>
      <c r="F45" s="323"/>
      <c r="G45" s="321"/>
      <c r="H45" s="321"/>
      <c r="I45" s="324"/>
      <c r="J45" s="324"/>
      <c r="K45" s="320"/>
      <c r="L45" s="320"/>
    </row>
    <row r="46" spans="1:12" x14ac:dyDescent="0.3">
      <c r="A46" s="322"/>
      <c r="B46" s="323"/>
      <c r="C46" s="323"/>
      <c r="D46" s="323"/>
      <c r="E46" s="323"/>
      <c r="F46" s="323"/>
      <c r="G46" s="321"/>
      <c r="H46" s="321"/>
      <c r="I46" s="324"/>
      <c r="J46" s="324"/>
      <c r="K46" s="320"/>
      <c r="L46" s="325"/>
    </row>
    <row r="47" spans="1:12" x14ac:dyDescent="0.3">
      <c r="A47" s="322"/>
      <c r="B47" s="323"/>
      <c r="C47" s="323"/>
      <c r="D47" s="323"/>
      <c r="E47" s="323"/>
      <c r="F47" s="323"/>
      <c r="G47" s="321"/>
      <c r="H47" s="321"/>
      <c r="I47" s="324"/>
      <c r="J47" s="324"/>
      <c r="K47" s="320"/>
      <c r="L47" s="325"/>
    </row>
    <row r="48" spans="1:12" x14ac:dyDescent="0.3">
      <c r="A48" s="322"/>
      <c r="B48" s="323"/>
      <c r="C48" s="323"/>
      <c r="D48" s="323"/>
      <c r="E48" s="323"/>
      <c r="F48" s="323"/>
      <c r="G48" s="321"/>
      <c r="H48" s="321"/>
      <c r="I48" s="324"/>
      <c r="J48" s="324"/>
      <c r="K48" s="320"/>
      <c r="L48" s="325"/>
    </row>
    <row r="49" spans="1:12" x14ac:dyDescent="0.3">
      <c r="A49" s="322"/>
      <c r="B49" s="323"/>
      <c r="C49" s="323"/>
      <c r="D49" s="323"/>
      <c r="E49" s="323"/>
      <c r="F49" s="323"/>
      <c r="G49" s="321"/>
      <c r="H49" s="321"/>
      <c r="I49" s="324"/>
      <c r="J49" s="324"/>
      <c r="K49" s="320"/>
      <c r="L49" s="325"/>
    </row>
    <row r="50" spans="1:12" x14ac:dyDescent="0.3">
      <c r="A50" s="322"/>
      <c r="B50" s="323"/>
      <c r="C50" s="323"/>
      <c r="D50" s="323"/>
      <c r="E50" s="323"/>
      <c r="F50" s="323"/>
      <c r="G50" s="321"/>
      <c r="H50" s="321"/>
      <c r="I50" s="324"/>
      <c r="J50" s="324"/>
      <c r="K50" s="320"/>
      <c r="L50" s="325"/>
    </row>
    <row r="51" spans="1:12" x14ac:dyDescent="0.3">
      <c r="A51" s="322"/>
      <c r="B51" s="323"/>
      <c r="C51" s="323"/>
      <c r="D51" s="323"/>
      <c r="E51" s="323"/>
      <c r="F51" s="323"/>
      <c r="G51" s="321"/>
      <c r="H51" s="321"/>
      <c r="I51" s="324"/>
      <c r="J51" s="324"/>
      <c r="K51" s="320"/>
      <c r="L51" s="325"/>
    </row>
    <row r="52" spans="1:12" x14ac:dyDescent="0.3">
      <c r="A52" s="322"/>
      <c r="B52" s="323"/>
      <c r="C52" s="323"/>
      <c r="D52" s="323"/>
      <c r="E52" s="323"/>
      <c r="F52" s="323"/>
      <c r="G52" s="321"/>
      <c r="H52" s="321"/>
      <c r="I52" s="324"/>
      <c r="J52" s="324"/>
      <c r="K52" s="320"/>
      <c r="L52" s="325"/>
    </row>
    <row r="53" spans="1:12" x14ac:dyDescent="0.3">
      <c r="A53" s="322"/>
      <c r="B53" s="323"/>
      <c r="C53" s="323"/>
      <c r="D53" s="323"/>
      <c r="E53" s="323"/>
      <c r="F53" s="323"/>
      <c r="G53" s="321"/>
      <c r="H53" s="321"/>
      <c r="I53" s="324"/>
      <c r="J53" s="324"/>
      <c r="K53" s="320"/>
      <c r="L53" s="325"/>
    </row>
    <row r="54" spans="1:12" x14ac:dyDescent="0.3">
      <c r="A54" s="322"/>
      <c r="B54" s="323"/>
      <c r="C54" s="323"/>
      <c r="D54" s="323"/>
      <c r="E54" s="323"/>
      <c r="F54" s="323"/>
      <c r="G54" s="321"/>
      <c r="H54" s="321"/>
      <c r="I54" s="324"/>
      <c r="J54" s="324"/>
      <c r="K54" s="320"/>
      <c r="L54" s="325"/>
    </row>
    <row r="55" spans="1:12" x14ac:dyDescent="0.3">
      <c r="A55" s="322"/>
      <c r="B55" s="323"/>
      <c r="C55" s="323"/>
      <c r="D55" s="323"/>
      <c r="E55" s="323"/>
      <c r="F55" s="323"/>
      <c r="G55" s="321"/>
      <c r="H55" s="321"/>
      <c r="I55" s="324"/>
      <c r="J55" s="324"/>
      <c r="K55" s="320"/>
      <c r="L55" s="325"/>
    </row>
    <row r="56" spans="1:12" x14ac:dyDescent="0.3">
      <c r="A56" s="322"/>
      <c r="B56" s="323"/>
      <c r="C56" s="323"/>
      <c r="D56" s="323"/>
      <c r="E56" s="323"/>
      <c r="F56" s="323"/>
      <c r="G56" s="321"/>
      <c r="H56" s="321"/>
      <c r="I56" s="324"/>
      <c r="J56" s="324"/>
      <c r="K56" s="320"/>
      <c r="L56" s="325"/>
    </row>
    <row r="57" spans="1:12" x14ac:dyDescent="0.3">
      <c r="A57" s="322"/>
      <c r="B57" s="323"/>
      <c r="C57" s="323"/>
      <c r="D57" s="323"/>
      <c r="E57" s="323"/>
      <c r="F57" s="323"/>
      <c r="G57" s="321"/>
      <c r="H57" s="321"/>
      <c r="I57" s="324"/>
      <c r="J57" s="324"/>
      <c r="K57" s="320"/>
      <c r="L57" s="325"/>
    </row>
    <row r="58" spans="1:12" x14ac:dyDescent="0.3">
      <c r="A58" s="322"/>
      <c r="B58" s="323"/>
      <c r="C58" s="323"/>
      <c r="D58" s="323"/>
      <c r="E58" s="323"/>
      <c r="F58" s="323"/>
      <c r="G58" s="321"/>
      <c r="H58" s="321"/>
      <c r="I58" s="324"/>
      <c r="J58" s="324"/>
      <c r="K58" s="320"/>
      <c r="L58" s="325"/>
    </row>
    <row r="59" spans="1:12" x14ac:dyDescent="0.3">
      <c r="A59" s="322"/>
      <c r="B59" s="323"/>
      <c r="C59" s="323"/>
      <c r="D59" s="323"/>
      <c r="E59" s="323"/>
      <c r="F59" s="323"/>
      <c r="G59" s="321"/>
      <c r="H59" s="321"/>
      <c r="I59" s="324"/>
      <c r="J59" s="324"/>
      <c r="K59" s="320"/>
      <c r="L59" s="325"/>
    </row>
    <row r="60" spans="1:12" x14ac:dyDescent="0.3">
      <c r="A60" s="322"/>
      <c r="B60" s="323"/>
      <c r="C60" s="323"/>
      <c r="D60" s="323"/>
      <c r="E60" s="323"/>
      <c r="F60" s="323"/>
      <c r="G60" s="321"/>
      <c r="H60" s="321"/>
      <c r="I60" s="324"/>
      <c r="J60" s="324"/>
      <c r="K60" s="320"/>
      <c r="L60" s="325"/>
    </row>
    <row r="61" spans="1:12" x14ac:dyDescent="0.3">
      <c r="A61" s="322"/>
      <c r="B61" s="323"/>
      <c r="C61" s="323"/>
      <c r="D61" s="323"/>
      <c r="E61" s="323"/>
      <c r="F61" s="323"/>
      <c r="G61" s="321"/>
      <c r="H61" s="321"/>
      <c r="I61" s="324"/>
      <c r="J61" s="324"/>
      <c r="K61" s="320"/>
      <c r="L61" s="325"/>
    </row>
    <row r="62" spans="1:12" x14ac:dyDescent="0.3">
      <c r="A62" s="322"/>
      <c r="B62" s="323"/>
      <c r="C62" s="323"/>
      <c r="D62" s="323"/>
      <c r="E62" s="323"/>
      <c r="F62" s="323"/>
      <c r="G62" s="321"/>
      <c r="H62" s="321"/>
      <c r="I62" s="324"/>
      <c r="J62" s="324"/>
      <c r="K62" s="320"/>
      <c r="L62" s="325"/>
    </row>
    <row r="63" spans="1:12" x14ac:dyDescent="0.3">
      <c r="A63" s="322"/>
      <c r="B63" s="323"/>
      <c r="C63" s="323"/>
      <c r="D63" s="323"/>
      <c r="E63" s="323"/>
      <c r="F63" s="323"/>
      <c r="G63" s="321"/>
      <c r="H63" s="321"/>
      <c r="I63" s="324"/>
      <c r="J63" s="324"/>
      <c r="K63" s="320"/>
      <c r="L63" s="325"/>
    </row>
    <row r="64" spans="1:12" x14ac:dyDescent="0.3">
      <c r="A64" s="322"/>
      <c r="B64" s="323"/>
      <c r="C64" s="323"/>
      <c r="D64" s="323"/>
      <c r="E64" s="323"/>
      <c r="F64" s="323"/>
      <c r="G64" s="321"/>
      <c r="H64" s="321"/>
      <c r="I64" s="324"/>
      <c r="J64" s="324"/>
      <c r="K64" s="320"/>
      <c r="L64" s="325"/>
    </row>
    <row r="65" spans="1:12" x14ac:dyDescent="0.3">
      <c r="A65" s="322"/>
      <c r="B65" s="323"/>
      <c r="C65" s="323"/>
      <c r="D65" s="323"/>
      <c r="E65" s="323"/>
      <c r="F65" s="323"/>
      <c r="G65" s="321"/>
      <c r="H65" s="321"/>
      <c r="I65" s="324"/>
      <c r="J65" s="324"/>
      <c r="K65" s="320"/>
      <c r="L65" s="325"/>
    </row>
    <row r="66" spans="1:12" x14ac:dyDescent="0.3">
      <c r="A66" s="322"/>
      <c r="B66" s="323"/>
      <c r="C66" s="323"/>
      <c r="D66" s="323"/>
      <c r="E66" s="323"/>
      <c r="F66" s="323"/>
      <c r="G66" s="321"/>
      <c r="H66" s="321"/>
      <c r="I66" s="324"/>
      <c r="J66" s="324"/>
      <c r="K66" s="320"/>
      <c r="L66" s="325"/>
    </row>
    <row r="67" spans="1:12" x14ac:dyDescent="0.3">
      <c r="A67" s="322"/>
      <c r="B67" s="323"/>
      <c r="C67" s="323"/>
      <c r="D67" s="323"/>
      <c r="E67" s="323"/>
      <c r="F67" s="323"/>
      <c r="G67" s="321"/>
      <c r="H67" s="321"/>
      <c r="I67" s="324"/>
      <c r="J67" s="324"/>
      <c r="K67" s="320"/>
      <c r="L67" s="325"/>
    </row>
    <row r="68" spans="1:12" x14ac:dyDescent="0.3">
      <c r="A68" s="322"/>
      <c r="B68" s="323"/>
      <c r="C68" s="323"/>
      <c r="D68" s="323"/>
      <c r="E68" s="323"/>
      <c r="F68" s="323"/>
      <c r="G68" s="321"/>
      <c r="H68" s="321"/>
      <c r="I68" s="324"/>
      <c r="J68" s="324"/>
      <c r="K68" s="320"/>
      <c r="L68" s="325"/>
    </row>
    <row r="69" spans="1:12" x14ac:dyDescent="0.3">
      <c r="A69" s="322"/>
      <c r="B69" s="323"/>
      <c r="C69" s="323"/>
      <c r="D69" s="323"/>
      <c r="E69" s="323"/>
      <c r="F69" s="323"/>
      <c r="G69" s="321"/>
      <c r="H69" s="321"/>
      <c r="I69" s="324"/>
      <c r="J69" s="324"/>
      <c r="K69" s="320"/>
      <c r="L69" s="325"/>
    </row>
    <row r="70" spans="1:12" x14ac:dyDescent="0.3">
      <c r="A70" s="322"/>
      <c r="B70" s="323"/>
      <c r="C70" s="323"/>
      <c r="D70" s="323"/>
      <c r="E70" s="323"/>
      <c r="F70" s="323"/>
      <c r="G70" s="321"/>
      <c r="H70" s="321"/>
      <c r="I70" s="324"/>
      <c r="J70" s="324"/>
      <c r="K70" s="320"/>
      <c r="L70" s="325"/>
    </row>
    <row r="71" spans="1:12" x14ac:dyDescent="0.3">
      <c r="A71" s="322"/>
      <c r="B71" s="323"/>
      <c r="C71" s="323"/>
      <c r="D71" s="323"/>
      <c r="E71" s="323"/>
      <c r="F71" s="323"/>
      <c r="G71" s="321"/>
      <c r="H71" s="321"/>
      <c r="I71" s="324"/>
      <c r="J71" s="324"/>
      <c r="K71" s="320"/>
      <c r="L71" s="325"/>
    </row>
    <row r="72" spans="1:12" x14ac:dyDescent="0.3">
      <c r="A72" s="322"/>
      <c r="B72" s="323"/>
      <c r="C72" s="323"/>
      <c r="D72" s="323"/>
      <c r="E72" s="323"/>
      <c r="F72" s="323"/>
      <c r="G72" s="321"/>
      <c r="H72" s="321"/>
      <c r="I72" s="324"/>
      <c r="J72" s="324"/>
      <c r="K72" s="320"/>
      <c r="L72" s="325"/>
    </row>
    <row r="73" spans="1:12" x14ac:dyDescent="0.3">
      <c r="A73" s="322"/>
      <c r="B73" s="323"/>
      <c r="C73" s="323"/>
      <c r="D73" s="323"/>
      <c r="E73" s="323"/>
      <c r="F73" s="323"/>
      <c r="G73" s="321"/>
      <c r="H73" s="321"/>
      <c r="I73" s="324"/>
      <c r="J73" s="324"/>
      <c r="K73" s="320"/>
      <c r="L73" s="325"/>
    </row>
    <row r="74" spans="1:12" x14ac:dyDescent="0.3">
      <c r="A74" s="322"/>
      <c r="B74" s="323"/>
      <c r="C74" s="323"/>
      <c r="D74" s="323"/>
      <c r="E74" s="323"/>
      <c r="F74" s="323"/>
      <c r="G74" s="321"/>
      <c r="H74" s="321"/>
      <c r="I74" s="324"/>
      <c r="J74" s="324"/>
      <c r="K74" s="320"/>
      <c r="L74" s="325"/>
    </row>
    <row r="75" spans="1:12" x14ac:dyDescent="0.3">
      <c r="A75" s="322"/>
      <c r="B75" s="323"/>
      <c r="C75" s="323"/>
      <c r="D75" s="323"/>
      <c r="E75" s="323"/>
      <c r="F75" s="323"/>
      <c r="G75" s="321"/>
      <c r="H75" s="321"/>
      <c r="I75" s="324"/>
      <c r="J75" s="324"/>
      <c r="K75" s="320"/>
      <c r="L75" s="325"/>
    </row>
    <row r="76" spans="1:12" x14ac:dyDescent="0.3">
      <c r="A76" s="322"/>
      <c r="B76" s="323"/>
      <c r="C76" s="323"/>
      <c r="D76" s="323"/>
      <c r="E76" s="323"/>
      <c r="F76" s="323"/>
      <c r="G76" s="321"/>
      <c r="H76" s="321"/>
      <c r="I76" s="324"/>
      <c r="J76" s="324"/>
      <c r="K76" s="320"/>
      <c r="L76" s="325"/>
    </row>
    <row r="77" spans="1:12" x14ac:dyDescent="0.3">
      <c r="A77" s="322"/>
      <c r="B77" s="323"/>
      <c r="C77" s="323"/>
      <c r="D77" s="323"/>
      <c r="E77" s="323"/>
      <c r="F77" s="323"/>
      <c r="G77" s="321"/>
      <c r="H77" s="321"/>
      <c r="I77" s="324"/>
      <c r="J77" s="324"/>
      <c r="K77" s="320"/>
      <c r="L77" s="325"/>
    </row>
    <row r="78" spans="1:12" x14ac:dyDescent="0.3">
      <c r="A78" s="322"/>
      <c r="B78" s="323"/>
      <c r="C78" s="323"/>
      <c r="D78" s="323"/>
      <c r="E78" s="323"/>
      <c r="F78" s="323"/>
      <c r="G78" s="321"/>
      <c r="H78" s="321"/>
      <c r="I78" s="324"/>
      <c r="J78" s="324"/>
      <c r="K78" s="320"/>
      <c r="L78" s="325"/>
    </row>
    <row r="79" spans="1:12" x14ac:dyDescent="0.3">
      <c r="A79" s="322"/>
      <c r="B79" s="323"/>
      <c r="C79" s="323"/>
      <c r="D79" s="323"/>
      <c r="E79" s="323"/>
      <c r="F79" s="323"/>
      <c r="G79" s="321"/>
      <c r="H79" s="321"/>
      <c r="I79" s="324"/>
      <c r="J79" s="324"/>
      <c r="K79" s="320"/>
      <c r="L79" s="325"/>
    </row>
    <row r="80" spans="1:12" x14ac:dyDescent="0.3">
      <c r="A80" s="322"/>
      <c r="B80" s="323"/>
      <c r="C80" s="323"/>
      <c r="D80" s="323"/>
      <c r="E80" s="323"/>
      <c r="F80" s="323"/>
      <c r="G80" s="321"/>
      <c r="H80" s="321"/>
      <c r="I80" s="324"/>
      <c r="J80" s="324"/>
      <c r="K80" s="320"/>
      <c r="L80" s="325"/>
    </row>
    <row r="81" spans="1:12" x14ac:dyDescent="0.3">
      <c r="A81" s="322"/>
      <c r="B81" s="323"/>
      <c r="C81" s="323"/>
      <c r="D81" s="323"/>
      <c r="E81" s="323"/>
      <c r="F81" s="323"/>
      <c r="G81" s="321"/>
      <c r="H81" s="321"/>
      <c r="I81" s="324"/>
      <c r="J81" s="324"/>
      <c r="K81" s="320"/>
      <c r="L81" s="325"/>
    </row>
    <row r="82" spans="1:12" x14ac:dyDescent="0.3">
      <c r="A82" s="322"/>
      <c r="B82" s="323"/>
      <c r="C82" s="323"/>
      <c r="D82" s="323"/>
      <c r="E82" s="323"/>
      <c r="F82" s="323"/>
      <c r="G82" s="321"/>
      <c r="H82" s="321"/>
      <c r="I82" s="324"/>
      <c r="J82" s="324"/>
      <c r="K82" s="320"/>
      <c r="L82" s="325"/>
    </row>
    <row r="83" spans="1:12" x14ac:dyDescent="0.3">
      <c r="A83" s="322"/>
      <c r="B83" s="323"/>
      <c r="C83" s="323"/>
      <c r="D83" s="323"/>
      <c r="E83" s="323"/>
      <c r="F83" s="323"/>
      <c r="G83" s="321"/>
      <c r="H83" s="321"/>
      <c r="I83" s="324"/>
      <c r="J83" s="324"/>
      <c r="K83" s="320"/>
      <c r="L83" s="325"/>
    </row>
    <row r="84" spans="1:12" x14ac:dyDescent="0.3">
      <c r="A84" s="322"/>
      <c r="B84" s="323"/>
      <c r="C84" s="323"/>
      <c r="D84" s="323"/>
      <c r="E84" s="323"/>
      <c r="F84" s="323"/>
      <c r="G84" s="321"/>
      <c r="H84" s="321"/>
      <c r="I84" s="324"/>
      <c r="J84" s="324"/>
      <c r="K84" s="320"/>
      <c r="L84" s="325"/>
    </row>
    <row r="85" spans="1:12" x14ac:dyDescent="0.3">
      <c r="A85" s="322"/>
      <c r="B85" s="323"/>
      <c r="C85" s="323"/>
      <c r="D85" s="323"/>
      <c r="E85" s="323"/>
      <c r="F85" s="323"/>
      <c r="G85" s="321"/>
      <c r="H85" s="321"/>
      <c r="I85" s="324"/>
      <c r="J85" s="324"/>
      <c r="K85" s="320"/>
      <c r="L85" s="325"/>
    </row>
    <row r="86" spans="1:12" x14ac:dyDescent="0.3">
      <c r="A86" s="322"/>
      <c r="B86" s="323"/>
      <c r="C86" s="323"/>
      <c r="D86" s="323"/>
      <c r="E86" s="323"/>
      <c r="F86" s="323"/>
      <c r="G86" s="321"/>
      <c r="H86" s="321"/>
      <c r="I86" s="324"/>
      <c r="J86" s="324"/>
      <c r="K86" s="320"/>
      <c r="L86" s="325"/>
    </row>
    <row r="87" spans="1:12" x14ac:dyDescent="0.3">
      <c r="A87" s="322"/>
      <c r="B87" s="323"/>
      <c r="C87" s="323"/>
      <c r="D87" s="323"/>
      <c r="E87" s="323"/>
      <c r="F87" s="323"/>
      <c r="G87" s="321"/>
      <c r="H87" s="321"/>
      <c r="I87" s="324"/>
      <c r="J87" s="324"/>
      <c r="K87" s="320"/>
      <c r="L87" s="325"/>
    </row>
    <row r="88" spans="1:12" x14ac:dyDescent="0.3">
      <c r="A88" s="322"/>
      <c r="B88" s="323"/>
      <c r="C88" s="323"/>
      <c r="D88" s="323"/>
      <c r="E88" s="323"/>
      <c r="F88" s="323"/>
      <c r="G88" s="321"/>
      <c r="H88" s="321"/>
      <c r="I88" s="324"/>
      <c r="J88" s="324"/>
      <c r="K88" s="320"/>
      <c r="L88" s="325"/>
    </row>
    <row r="89" spans="1:12" x14ac:dyDescent="0.3">
      <c r="A89" s="322"/>
      <c r="B89" s="323"/>
      <c r="C89" s="323"/>
      <c r="D89" s="323"/>
      <c r="E89" s="323"/>
      <c r="F89" s="323"/>
      <c r="G89" s="321"/>
      <c r="H89" s="321"/>
      <c r="I89" s="324"/>
      <c r="J89" s="324"/>
      <c r="K89" s="320"/>
      <c r="L89" s="325"/>
    </row>
    <row r="90" spans="1:12" x14ac:dyDescent="0.3">
      <c r="A90" s="322"/>
      <c r="B90" s="323"/>
      <c r="C90" s="323"/>
      <c r="D90" s="323"/>
      <c r="E90" s="323"/>
      <c r="F90" s="323"/>
      <c r="G90" s="321"/>
      <c r="H90" s="321"/>
      <c r="I90" s="324"/>
      <c r="J90" s="324"/>
      <c r="K90" s="320"/>
      <c r="L90" s="325"/>
    </row>
    <row r="91" spans="1:12" x14ac:dyDescent="0.3">
      <c r="A91" s="322"/>
      <c r="B91" s="323"/>
      <c r="C91" s="323"/>
      <c r="D91" s="323"/>
      <c r="E91" s="323"/>
      <c r="F91" s="323"/>
      <c r="G91" s="321"/>
      <c r="H91" s="321"/>
      <c r="I91" s="324"/>
      <c r="J91" s="324"/>
      <c r="K91" s="320"/>
      <c r="L91" s="325"/>
    </row>
    <row r="92" spans="1:12" x14ac:dyDescent="0.3">
      <c r="A92" s="322"/>
      <c r="B92" s="323"/>
      <c r="C92" s="323"/>
      <c r="D92" s="323"/>
      <c r="E92" s="323"/>
      <c r="F92" s="323"/>
      <c r="G92" s="321"/>
      <c r="H92" s="321"/>
      <c r="I92" s="324"/>
      <c r="J92" s="324"/>
      <c r="K92" s="320"/>
      <c r="L92" s="325"/>
    </row>
    <row r="93" spans="1:12" x14ac:dyDescent="0.3">
      <c r="A93" s="322"/>
      <c r="B93" s="323"/>
      <c r="C93" s="323"/>
      <c r="D93" s="323"/>
      <c r="E93" s="323"/>
      <c r="F93" s="323"/>
      <c r="G93" s="321"/>
      <c r="H93" s="321"/>
      <c r="I93" s="324"/>
      <c r="J93" s="324"/>
      <c r="K93" s="320"/>
      <c r="L93" s="325"/>
    </row>
    <row r="94" spans="1:12" x14ac:dyDescent="0.3">
      <c r="A94" s="322"/>
      <c r="B94" s="323"/>
      <c r="C94" s="323"/>
      <c r="D94" s="323"/>
      <c r="E94" s="323"/>
      <c r="F94" s="323"/>
      <c r="G94" s="321"/>
      <c r="H94" s="321"/>
      <c r="I94" s="324"/>
      <c r="J94" s="324"/>
      <c r="K94" s="320"/>
      <c r="L94" s="325"/>
    </row>
    <row r="95" spans="1:12" x14ac:dyDescent="0.3">
      <c r="A95" s="322"/>
      <c r="B95" s="323"/>
      <c r="C95" s="323"/>
      <c r="D95" s="323"/>
      <c r="E95" s="323"/>
      <c r="F95" s="323"/>
      <c r="G95" s="321"/>
      <c r="H95" s="321"/>
      <c r="I95" s="324"/>
      <c r="J95" s="324"/>
      <c r="K95" s="320"/>
      <c r="L95" s="325"/>
    </row>
    <row r="96" spans="1:12" x14ac:dyDescent="0.3">
      <c r="A96" s="322"/>
      <c r="B96" s="323"/>
      <c r="C96" s="323"/>
      <c r="D96" s="323"/>
      <c r="E96" s="323"/>
      <c r="F96" s="323"/>
      <c r="G96" s="321"/>
      <c r="H96" s="321"/>
      <c r="I96" s="324"/>
      <c r="J96" s="324"/>
      <c r="K96" s="320"/>
      <c r="L96" s="325"/>
    </row>
    <row r="97" spans="1:12" x14ac:dyDescent="0.3">
      <c r="A97" s="322"/>
      <c r="B97" s="323"/>
      <c r="C97" s="323"/>
      <c r="D97" s="323"/>
      <c r="E97" s="323"/>
      <c r="F97" s="323"/>
      <c r="G97" s="321"/>
      <c r="H97" s="321"/>
      <c r="I97" s="324"/>
      <c r="J97" s="324"/>
      <c r="K97" s="320"/>
      <c r="L97" s="325"/>
    </row>
    <row r="98" spans="1:12" x14ac:dyDescent="0.3">
      <c r="A98" s="322"/>
      <c r="B98" s="323"/>
      <c r="C98" s="323"/>
      <c r="D98" s="323"/>
      <c r="E98" s="323"/>
      <c r="F98" s="323"/>
      <c r="G98" s="321"/>
      <c r="H98" s="321"/>
      <c r="I98" s="324"/>
      <c r="J98" s="324"/>
      <c r="K98" s="320"/>
      <c r="L98" s="325"/>
    </row>
    <row r="99" spans="1:12" x14ac:dyDescent="0.3">
      <c r="A99" s="322"/>
      <c r="B99" s="323"/>
      <c r="C99" s="323"/>
      <c r="D99" s="323"/>
      <c r="E99" s="323"/>
      <c r="F99" s="323"/>
      <c r="G99" s="321"/>
      <c r="H99" s="321"/>
      <c r="I99" s="324"/>
      <c r="J99" s="324"/>
      <c r="K99" s="320"/>
      <c r="L99" s="325"/>
    </row>
    <row r="100" spans="1:12" x14ac:dyDescent="0.3">
      <c r="A100" s="322"/>
      <c r="B100" s="323"/>
      <c r="C100" s="323"/>
      <c r="D100" s="323"/>
      <c r="E100" s="323"/>
      <c r="F100" s="323"/>
      <c r="G100" s="321"/>
      <c r="H100" s="321"/>
      <c r="I100" s="324"/>
      <c r="J100" s="324"/>
      <c r="K100" s="320"/>
      <c r="L100" s="325"/>
    </row>
    <row r="101" spans="1:12" x14ac:dyDescent="0.3">
      <c r="A101" s="322"/>
      <c r="B101" s="323"/>
      <c r="C101" s="323"/>
      <c r="D101" s="323"/>
      <c r="E101" s="323"/>
      <c r="F101" s="323"/>
      <c r="G101" s="321"/>
      <c r="H101" s="321"/>
      <c r="I101" s="324"/>
      <c r="J101" s="324"/>
      <c r="K101" s="320"/>
      <c r="L101" s="325"/>
    </row>
    <row r="102" spans="1:12" x14ac:dyDescent="0.3">
      <c r="A102" s="322"/>
      <c r="B102" s="323"/>
      <c r="C102" s="323"/>
      <c r="D102" s="323"/>
      <c r="E102" s="323"/>
      <c r="F102" s="323"/>
      <c r="G102" s="321"/>
      <c r="H102" s="321"/>
      <c r="I102" s="324"/>
      <c r="J102" s="324"/>
      <c r="K102" s="320"/>
      <c r="L102" s="325"/>
    </row>
    <row r="103" spans="1:12" x14ac:dyDescent="0.3">
      <c r="A103" s="322"/>
      <c r="B103" s="323"/>
      <c r="C103" s="323"/>
      <c r="D103" s="323"/>
      <c r="E103" s="323"/>
      <c r="F103" s="323"/>
      <c r="G103" s="321"/>
      <c r="H103" s="321"/>
      <c r="I103" s="324"/>
      <c r="J103" s="324"/>
      <c r="K103" s="320"/>
      <c r="L103" s="325"/>
    </row>
    <row r="104" spans="1:12" x14ac:dyDescent="0.3">
      <c r="A104" s="322"/>
      <c r="B104" s="323"/>
      <c r="C104" s="323"/>
      <c r="D104" s="323"/>
      <c r="E104" s="323"/>
      <c r="F104" s="323"/>
      <c r="G104" s="321"/>
      <c r="H104" s="321"/>
      <c r="I104" s="324"/>
      <c r="J104" s="324"/>
      <c r="K104" s="320"/>
      <c r="L104" s="325"/>
    </row>
    <row r="105" spans="1:12" x14ac:dyDescent="0.3">
      <c r="A105" s="322"/>
      <c r="B105" s="323"/>
      <c r="C105" s="323"/>
      <c r="D105" s="323"/>
      <c r="E105" s="323"/>
      <c r="F105" s="323"/>
      <c r="G105" s="321"/>
      <c r="H105" s="321"/>
      <c r="I105" s="324"/>
      <c r="J105" s="324"/>
      <c r="K105" s="320"/>
      <c r="L105" s="325"/>
    </row>
    <row r="106" spans="1:12" x14ac:dyDescent="0.3">
      <c r="A106" s="322"/>
      <c r="B106" s="323"/>
      <c r="C106" s="323"/>
      <c r="D106" s="323"/>
      <c r="E106" s="323"/>
      <c r="F106" s="323"/>
      <c r="G106" s="321"/>
      <c r="H106" s="321"/>
      <c r="I106" s="324"/>
      <c r="J106" s="324"/>
      <c r="K106" s="320"/>
      <c r="L106" s="325"/>
    </row>
    <row r="107" spans="1:12" x14ac:dyDescent="0.3">
      <c r="A107" s="322"/>
      <c r="B107" s="323"/>
      <c r="C107" s="323"/>
      <c r="D107" s="323"/>
      <c r="E107" s="323"/>
      <c r="F107" s="323"/>
      <c r="G107" s="321"/>
      <c r="H107" s="321"/>
      <c r="I107" s="324"/>
      <c r="J107" s="324"/>
      <c r="K107" s="320"/>
      <c r="L107" s="325"/>
    </row>
    <row r="108" spans="1:12" x14ac:dyDescent="0.3">
      <c r="A108" s="322"/>
      <c r="B108" s="323"/>
      <c r="C108" s="323"/>
      <c r="D108" s="323"/>
      <c r="E108" s="323"/>
      <c r="F108" s="323"/>
      <c r="G108" s="321"/>
      <c r="H108" s="321"/>
      <c r="I108" s="324"/>
      <c r="J108" s="324"/>
      <c r="K108" s="320"/>
      <c r="L108" s="325"/>
    </row>
    <row r="109" spans="1:12" x14ac:dyDescent="0.3">
      <c r="A109" s="322"/>
      <c r="B109" s="323"/>
      <c r="C109" s="323"/>
      <c r="D109" s="323"/>
      <c r="E109" s="323"/>
      <c r="F109" s="323"/>
      <c r="G109" s="321"/>
      <c r="H109" s="321"/>
      <c r="I109" s="324"/>
      <c r="J109" s="324"/>
      <c r="K109" s="320"/>
      <c r="L109" s="325"/>
    </row>
    <row r="110" spans="1:12" x14ac:dyDescent="0.3">
      <c r="A110" s="322"/>
      <c r="B110" s="323"/>
      <c r="C110" s="323"/>
      <c r="D110" s="323"/>
      <c r="E110" s="323"/>
      <c r="F110" s="323"/>
      <c r="G110" s="321"/>
      <c r="H110" s="321"/>
      <c r="I110" s="324"/>
      <c r="J110" s="324"/>
      <c r="K110" s="320"/>
      <c r="L110" s="325"/>
    </row>
    <row r="111" spans="1:12" x14ac:dyDescent="0.3">
      <c r="A111" s="322"/>
      <c r="B111" s="323"/>
      <c r="C111" s="323"/>
      <c r="D111" s="323"/>
      <c r="E111" s="323"/>
      <c r="F111" s="323"/>
      <c r="G111" s="321"/>
      <c r="H111" s="321"/>
      <c r="I111" s="324"/>
      <c r="J111" s="324"/>
      <c r="K111" s="320"/>
      <c r="L111" s="325"/>
    </row>
    <row r="112" spans="1:12" x14ac:dyDescent="0.3">
      <c r="A112" s="322"/>
      <c r="B112" s="323"/>
      <c r="C112" s="323"/>
      <c r="D112" s="323"/>
      <c r="E112" s="323"/>
      <c r="F112" s="323"/>
      <c r="G112" s="321"/>
      <c r="H112" s="321"/>
      <c r="I112" s="324"/>
      <c r="J112" s="324"/>
      <c r="K112" s="320"/>
      <c r="L112" s="325"/>
    </row>
    <row r="113" spans="1:12" x14ac:dyDescent="0.3">
      <c r="A113" s="322"/>
      <c r="B113" s="323"/>
      <c r="C113" s="323"/>
      <c r="D113" s="323"/>
      <c r="E113" s="323"/>
      <c r="F113" s="323"/>
      <c r="G113" s="321"/>
      <c r="H113" s="321"/>
      <c r="I113" s="324"/>
      <c r="J113" s="324"/>
      <c r="K113" s="320"/>
      <c r="L113" s="325"/>
    </row>
    <row r="114" spans="1:12" x14ac:dyDescent="0.3">
      <c r="A114" s="322"/>
      <c r="B114" s="323"/>
      <c r="C114" s="323"/>
      <c r="D114" s="323"/>
      <c r="E114" s="323"/>
      <c r="F114" s="323"/>
      <c r="G114" s="321"/>
      <c r="H114" s="321"/>
      <c r="I114" s="324"/>
      <c r="J114" s="324"/>
      <c r="K114" s="320"/>
      <c r="L114" s="325"/>
    </row>
    <row r="115" spans="1:12" x14ac:dyDescent="0.3">
      <c r="A115" s="322"/>
      <c r="B115" s="323"/>
      <c r="C115" s="323"/>
      <c r="D115" s="323"/>
      <c r="E115" s="323"/>
      <c r="F115" s="323"/>
      <c r="G115" s="321"/>
      <c r="H115" s="321"/>
      <c r="I115" s="324"/>
      <c r="J115" s="324"/>
      <c r="K115" s="320"/>
      <c r="L115" s="325"/>
    </row>
    <row r="116" spans="1:12" x14ac:dyDescent="0.3">
      <c r="A116" s="322"/>
      <c r="B116" s="323"/>
      <c r="C116" s="323"/>
      <c r="D116" s="323"/>
      <c r="E116" s="323"/>
      <c r="F116" s="323"/>
      <c r="G116" s="321"/>
      <c r="H116" s="321"/>
      <c r="I116" s="324"/>
      <c r="J116" s="324"/>
      <c r="K116" s="320"/>
      <c r="L116" s="325"/>
    </row>
    <row r="117" spans="1:12" x14ac:dyDescent="0.3">
      <c r="A117" s="322"/>
      <c r="B117" s="323"/>
      <c r="C117" s="323"/>
      <c r="D117" s="323"/>
      <c r="E117" s="323"/>
      <c r="F117" s="323"/>
      <c r="G117" s="321"/>
      <c r="H117" s="321"/>
      <c r="I117" s="324"/>
      <c r="J117" s="324"/>
      <c r="K117" s="320"/>
      <c r="L117" s="325"/>
    </row>
    <row r="118" spans="1:12" x14ac:dyDescent="0.3">
      <c r="A118" s="322"/>
      <c r="B118" s="323"/>
      <c r="C118" s="323"/>
      <c r="D118" s="323"/>
      <c r="E118" s="323"/>
      <c r="F118" s="323"/>
      <c r="G118" s="321"/>
      <c r="H118" s="321"/>
      <c r="I118" s="324"/>
      <c r="J118" s="324"/>
      <c r="K118" s="320"/>
      <c r="L118" s="325"/>
    </row>
    <row r="119" spans="1:12" x14ac:dyDescent="0.3">
      <c r="A119" s="322"/>
      <c r="B119" s="323"/>
      <c r="C119" s="323"/>
      <c r="D119" s="323"/>
      <c r="E119" s="323"/>
      <c r="F119" s="323"/>
      <c r="G119" s="321"/>
      <c r="H119" s="321"/>
      <c r="I119" s="324"/>
      <c r="J119" s="324"/>
      <c r="K119" s="320"/>
      <c r="L119" s="325"/>
    </row>
    <row r="120" spans="1:12" x14ac:dyDescent="0.3">
      <c r="A120" s="322"/>
      <c r="B120" s="323"/>
      <c r="C120" s="323"/>
      <c r="D120" s="323"/>
      <c r="E120" s="323"/>
      <c r="F120" s="323"/>
      <c r="G120" s="321"/>
      <c r="H120" s="321"/>
      <c r="I120" s="324"/>
      <c r="J120" s="324"/>
      <c r="K120" s="320"/>
      <c r="L120" s="325"/>
    </row>
    <row r="121" spans="1:12" x14ac:dyDescent="0.3">
      <c r="A121" s="322"/>
      <c r="B121" s="323"/>
      <c r="C121" s="323"/>
      <c r="D121" s="323"/>
      <c r="E121" s="323"/>
      <c r="F121" s="323"/>
      <c r="G121" s="321"/>
      <c r="H121" s="321"/>
      <c r="I121" s="324"/>
      <c r="J121" s="324"/>
      <c r="K121" s="320"/>
      <c r="L121" s="325"/>
    </row>
    <row r="122" spans="1:12" x14ac:dyDescent="0.3">
      <c r="A122" s="322"/>
      <c r="B122" s="323"/>
      <c r="C122" s="323"/>
      <c r="D122" s="323"/>
      <c r="E122" s="323"/>
      <c r="F122" s="323"/>
      <c r="G122" s="321"/>
      <c r="H122" s="321"/>
      <c r="I122" s="324"/>
      <c r="J122" s="324"/>
      <c r="K122" s="320"/>
      <c r="L122" s="325"/>
    </row>
    <row r="123" spans="1:12" x14ac:dyDescent="0.3">
      <c r="A123" s="322"/>
      <c r="B123" s="323"/>
      <c r="C123" s="323"/>
      <c r="D123" s="323"/>
      <c r="E123" s="323"/>
      <c r="F123" s="323"/>
      <c r="G123" s="321"/>
      <c r="H123" s="321"/>
      <c r="I123" s="324"/>
      <c r="J123" s="324"/>
      <c r="K123" s="320"/>
      <c r="L123" s="325"/>
    </row>
    <row r="124" spans="1:12" x14ac:dyDescent="0.3">
      <c r="A124" s="322"/>
      <c r="B124" s="323"/>
      <c r="C124" s="323"/>
      <c r="D124" s="323"/>
      <c r="E124" s="323"/>
      <c r="F124" s="323"/>
      <c r="G124" s="321"/>
      <c r="H124" s="321"/>
      <c r="I124" s="324"/>
      <c r="J124" s="324"/>
      <c r="K124" s="320"/>
      <c r="L124" s="325"/>
    </row>
    <row r="125" spans="1:12" x14ac:dyDescent="0.3">
      <c r="A125" s="322"/>
      <c r="B125" s="323"/>
      <c r="C125" s="323"/>
      <c r="D125" s="323"/>
      <c r="E125" s="323"/>
      <c r="F125" s="323"/>
      <c r="G125" s="321"/>
      <c r="H125" s="321"/>
      <c r="I125" s="324"/>
      <c r="J125" s="324"/>
      <c r="K125" s="320"/>
      <c r="L125" s="325"/>
    </row>
    <row r="126" spans="1:12" x14ac:dyDescent="0.3">
      <c r="A126" s="322"/>
      <c r="B126" s="323"/>
      <c r="C126" s="323"/>
      <c r="D126" s="323"/>
      <c r="E126" s="323"/>
      <c r="F126" s="323"/>
      <c r="G126" s="321"/>
      <c r="H126" s="321"/>
      <c r="I126" s="324"/>
      <c r="J126" s="324"/>
      <c r="K126" s="320"/>
      <c r="L126" s="325"/>
    </row>
    <row r="127" spans="1:12" x14ac:dyDescent="0.3">
      <c r="A127" s="322"/>
      <c r="B127" s="323"/>
      <c r="C127" s="323"/>
      <c r="D127" s="323"/>
      <c r="E127" s="323"/>
      <c r="F127" s="323"/>
      <c r="G127" s="321"/>
      <c r="H127" s="321"/>
      <c r="I127" s="324"/>
      <c r="J127" s="324"/>
      <c r="K127" s="320"/>
      <c r="L127" s="325"/>
    </row>
    <row r="128" spans="1:12" x14ac:dyDescent="0.3">
      <c r="A128" s="322"/>
      <c r="B128" s="323"/>
      <c r="C128" s="323"/>
      <c r="D128" s="323"/>
      <c r="E128" s="323"/>
      <c r="F128" s="323"/>
      <c r="G128" s="321"/>
      <c r="H128" s="321"/>
      <c r="I128" s="324"/>
      <c r="J128" s="324"/>
      <c r="K128" s="320"/>
      <c r="L128" s="325"/>
    </row>
    <row r="129" spans="1:12" x14ac:dyDescent="0.3">
      <c r="A129" s="322"/>
      <c r="B129" s="323"/>
      <c r="C129" s="323"/>
      <c r="D129" s="323"/>
      <c r="E129" s="323"/>
      <c r="F129" s="323"/>
      <c r="G129" s="321"/>
      <c r="H129" s="321"/>
      <c r="I129" s="324"/>
      <c r="J129" s="324"/>
      <c r="K129" s="320"/>
      <c r="L129" s="325"/>
    </row>
    <row r="130" spans="1:12" x14ac:dyDescent="0.3">
      <c r="A130" s="322"/>
      <c r="B130" s="323"/>
      <c r="C130" s="323"/>
      <c r="D130" s="323"/>
      <c r="E130" s="323"/>
      <c r="F130" s="323"/>
      <c r="G130" s="321"/>
      <c r="H130" s="321"/>
      <c r="I130" s="324"/>
      <c r="J130" s="324"/>
      <c r="K130" s="320"/>
      <c r="L130" s="325"/>
    </row>
    <row r="131" spans="1:12" x14ac:dyDescent="0.3">
      <c r="A131" s="322"/>
      <c r="B131" s="323"/>
      <c r="C131" s="323"/>
      <c r="D131" s="323"/>
      <c r="E131" s="323"/>
      <c r="F131" s="323"/>
      <c r="G131" s="321"/>
      <c r="H131" s="321"/>
      <c r="I131" s="324"/>
      <c r="J131" s="324"/>
      <c r="K131" s="320"/>
      <c r="L131" s="325"/>
    </row>
    <row r="132" spans="1:12" x14ac:dyDescent="0.3">
      <c r="A132" s="322"/>
      <c r="B132" s="323"/>
      <c r="C132" s="323"/>
      <c r="D132" s="323"/>
      <c r="E132" s="323"/>
      <c r="F132" s="323"/>
      <c r="G132" s="321"/>
      <c r="H132" s="321"/>
      <c r="I132" s="324"/>
      <c r="J132" s="324"/>
      <c r="K132" s="320"/>
      <c r="L132" s="325"/>
    </row>
    <row r="133" spans="1:12" x14ac:dyDescent="0.3">
      <c r="A133" s="322"/>
      <c r="B133" s="323"/>
      <c r="C133" s="323"/>
      <c r="D133" s="323"/>
      <c r="E133" s="323"/>
      <c r="F133" s="323"/>
      <c r="G133" s="321"/>
      <c r="H133" s="321"/>
      <c r="I133" s="324"/>
      <c r="J133" s="324"/>
      <c r="K133" s="320"/>
      <c r="L133" s="325"/>
    </row>
    <row r="134" spans="1:12" x14ac:dyDescent="0.3">
      <c r="A134" s="322"/>
      <c r="B134" s="323"/>
      <c r="C134" s="323"/>
      <c r="D134" s="323"/>
      <c r="E134" s="323"/>
      <c r="F134" s="323"/>
      <c r="G134" s="321"/>
      <c r="H134" s="321"/>
      <c r="I134" s="324"/>
      <c r="J134" s="324"/>
      <c r="K134" s="320"/>
      <c r="L134" s="325"/>
    </row>
    <row r="135" spans="1:12" x14ac:dyDescent="0.3">
      <c r="A135" s="322"/>
      <c r="B135" s="323"/>
      <c r="C135" s="323"/>
      <c r="D135" s="323"/>
      <c r="E135" s="323"/>
      <c r="F135" s="323"/>
      <c r="G135" s="321"/>
      <c r="H135" s="321"/>
      <c r="I135" s="324"/>
      <c r="J135" s="324"/>
      <c r="K135" s="320"/>
      <c r="L135" s="325"/>
    </row>
    <row r="136" spans="1:12" x14ac:dyDescent="0.3">
      <c r="A136" s="322"/>
      <c r="B136" s="323"/>
      <c r="C136" s="323"/>
      <c r="D136" s="323"/>
      <c r="E136" s="323"/>
      <c r="F136" s="323"/>
      <c r="G136" s="321"/>
      <c r="H136" s="321"/>
      <c r="I136" s="324"/>
      <c r="J136" s="324"/>
      <c r="K136" s="320"/>
      <c r="L136" s="325"/>
    </row>
    <row r="137" spans="1:12" x14ac:dyDescent="0.3">
      <c r="A137" s="322"/>
      <c r="B137" s="323"/>
      <c r="C137" s="323"/>
      <c r="D137" s="323"/>
      <c r="E137" s="323"/>
      <c r="F137" s="323"/>
      <c r="G137" s="321"/>
      <c r="H137" s="321"/>
      <c r="I137" s="324"/>
      <c r="J137" s="324"/>
      <c r="K137" s="320"/>
      <c r="L137" s="325"/>
    </row>
    <row r="138" spans="1:12" x14ac:dyDescent="0.3">
      <c r="A138" s="322"/>
      <c r="B138" s="323"/>
      <c r="C138" s="323"/>
      <c r="D138" s="323"/>
      <c r="E138" s="323"/>
      <c r="F138" s="323"/>
      <c r="G138" s="321"/>
      <c r="H138" s="321"/>
      <c r="I138" s="324"/>
      <c r="J138" s="324"/>
      <c r="K138" s="320"/>
      <c r="L138" s="325"/>
    </row>
    <row r="139" spans="1:12" x14ac:dyDescent="0.3">
      <c r="A139" s="322"/>
      <c r="B139" s="323"/>
      <c r="C139" s="323"/>
      <c r="D139" s="323"/>
      <c r="E139" s="323"/>
      <c r="F139" s="323"/>
      <c r="G139" s="321"/>
      <c r="H139" s="321"/>
      <c r="I139" s="324"/>
      <c r="J139" s="324"/>
      <c r="K139" s="320"/>
      <c r="L139" s="325"/>
    </row>
    <row r="140" spans="1:12" x14ac:dyDescent="0.3">
      <c r="A140" s="322"/>
      <c r="B140" s="323"/>
      <c r="C140" s="323"/>
      <c r="D140" s="323"/>
      <c r="E140" s="323"/>
      <c r="F140" s="323"/>
      <c r="G140" s="321"/>
      <c r="H140" s="321"/>
      <c r="I140" s="324"/>
      <c r="J140" s="324"/>
      <c r="K140" s="320"/>
      <c r="L140" s="325"/>
    </row>
    <row r="141" spans="1:12" x14ac:dyDescent="0.3">
      <c r="A141" s="322"/>
      <c r="B141" s="323"/>
      <c r="C141" s="323"/>
      <c r="D141" s="323"/>
      <c r="E141" s="323"/>
      <c r="F141" s="323"/>
      <c r="G141" s="321"/>
      <c r="H141" s="321"/>
      <c r="I141" s="324"/>
      <c r="J141" s="324"/>
      <c r="K141" s="320"/>
      <c r="L141" s="325"/>
    </row>
    <row r="142" spans="1:12" x14ac:dyDescent="0.3">
      <c r="A142" s="322"/>
      <c r="B142" s="323"/>
      <c r="C142" s="323"/>
      <c r="D142" s="323"/>
      <c r="E142" s="323"/>
      <c r="F142" s="323"/>
      <c r="G142" s="321"/>
      <c r="H142" s="321"/>
      <c r="I142" s="324"/>
      <c r="J142" s="324"/>
      <c r="K142" s="320"/>
      <c r="L142" s="325"/>
    </row>
    <row r="143" spans="1:12" x14ac:dyDescent="0.3">
      <c r="A143" s="322"/>
      <c r="B143" s="323"/>
      <c r="C143" s="323"/>
      <c r="D143" s="323"/>
      <c r="E143" s="323"/>
      <c r="F143" s="323"/>
      <c r="G143" s="321"/>
      <c r="H143" s="321"/>
      <c r="I143" s="324"/>
      <c r="J143" s="324"/>
      <c r="K143" s="320"/>
      <c r="L143" s="325"/>
    </row>
    <row r="144" spans="1:12" x14ac:dyDescent="0.3">
      <c r="A144" s="322"/>
      <c r="B144" s="323"/>
      <c r="C144" s="323"/>
      <c r="D144" s="323"/>
      <c r="E144" s="323"/>
      <c r="F144" s="323"/>
      <c r="G144" s="321"/>
      <c r="H144" s="321"/>
      <c r="I144" s="324"/>
      <c r="J144" s="324"/>
      <c r="K144" s="320"/>
      <c r="L144" s="325"/>
    </row>
    <row r="145" spans="1:12" x14ac:dyDescent="0.3">
      <c r="A145" s="322"/>
      <c r="B145" s="323"/>
      <c r="C145" s="323"/>
      <c r="D145" s="323"/>
      <c r="E145" s="323"/>
      <c r="F145" s="323"/>
      <c r="G145" s="321"/>
      <c r="H145" s="321"/>
      <c r="I145" s="324"/>
      <c r="J145" s="324"/>
      <c r="K145" s="320"/>
      <c r="L145" s="325"/>
    </row>
    <row r="146" spans="1:12" x14ac:dyDescent="0.3">
      <c r="A146" s="322"/>
      <c r="B146" s="323"/>
      <c r="C146" s="323"/>
      <c r="D146" s="323"/>
      <c r="E146" s="323"/>
      <c r="F146" s="323"/>
      <c r="G146" s="321"/>
      <c r="H146" s="321"/>
      <c r="I146" s="324"/>
      <c r="J146" s="324"/>
      <c r="K146" s="320"/>
      <c r="L146" s="325"/>
    </row>
    <row r="147" spans="1:12" x14ac:dyDescent="0.3">
      <c r="A147" s="322"/>
      <c r="B147" s="323"/>
      <c r="C147" s="323"/>
      <c r="D147" s="323"/>
      <c r="E147" s="323"/>
      <c r="F147" s="323"/>
      <c r="G147" s="321"/>
      <c r="H147" s="321"/>
      <c r="I147" s="324"/>
      <c r="J147" s="324"/>
      <c r="K147" s="320"/>
      <c r="L147" s="325"/>
    </row>
    <row r="148" spans="1:12" x14ac:dyDescent="0.3">
      <c r="A148" s="322"/>
      <c r="B148" s="323"/>
      <c r="C148" s="323"/>
      <c r="D148" s="323"/>
      <c r="E148" s="323"/>
      <c r="F148" s="323"/>
      <c r="G148" s="321"/>
      <c r="H148" s="321"/>
      <c r="I148" s="324"/>
      <c r="J148" s="324"/>
      <c r="K148" s="320"/>
      <c r="L148" s="325"/>
    </row>
    <row r="149" spans="1:12" x14ac:dyDescent="0.3">
      <c r="A149" s="322"/>
      <c r="B149" s="323"/>
      <c r="C149" s="323"/>
      <c r="D149" s="323"/>
      <c r="E149" s="323"/>
      <c r="F149" s="323"/>
      <c r="G149" s="321"/>
      <c r="H149" s="321"/>
      <c r="I149" s="324"/>
      <c r="J149" s="324"/>
      <c r="K149" s="320"/>
      <c r="L149" s="325"/>
    </row>
    <row r="150" spans="1:12" x14ac:dyDescent="0.3">
      <c r="A150" s="322"/>
      <c r="B150" s="323"/>
      <c r="C150" s="323"/>
      <c r="D150" s="323"/>
      <c r="E150" s="323"/>
      <c r="F150" s="323"/>
      <c r="G150" s="321"/>
      <c r="H150" s="321"/>
      <c r="I150" s="324"/>
      <c r="J150" s="324"/>
      <c r="K150" s="320"/>
      <c r="L150" s="325"/>
    </row>
    <row r="151" spans="1:12" x14ac:dyDescent="0.3">
      <c r="A151" s="322"/>
      <c r="B151" s="323"/>
      <c r="C151" s="323"/>
      <c r="D151" s="323"/>
      <c r="E151" s="323"/>
      <c r="F151" s="323"/>
      <c r="G151" s="321"/>
      <c r="H151" s="321"/>
      <c r="I151" s="324"/>
      <c r="J151" s="324"/>
      <c r="K151" s="320"/>
      <c r="L151" s="325"/>
    </row>
    <row r="152" spans="1:12" x14ac:dyDescent="0.3">
      <c r="A152" s="322"/>
      <c r="B152" s="323"/>
      <c r="C152" s="323"/>
      <c r="D152" s="323"/>
      <c r="E152" s="323"/>
      <c r="F152" s="323"/>
      <c r="G152" s="321"/>
      <c r="H152" s="321"/>
      <c r="I152" s="324"/>
      <c r="J152" s="324"/>
      <c r="K152" s="320"/>
      <c r="L152" s="325"/>
    </row>
    <row r="153" spans="1:12" x14ac:dyDescent="0.3">
      <c r="A153" s="322"/>
      <c r="B153" s="323"/>
      <c r="C153" s="323"/>
      <c r="D153" s="323"/>
      <c r="E153" s="323"/>
      <c r="F153" s="323"/>
      <c r="G153" s="321"/>
      <c r="H153" s="321"/>
      <c r="I153" s="324"/>
      <c r="J153" s="324"/>
      <c r="K153" s="320"/>
      <c r="L153" s="325"/>
    </row>
    <row r="154" spans="1:12" x14ac:dyDescent="0.3">
      <c r="A154" s="322"/>
      <c r="B154" s="323"/>
      <c r="C154" s="323"/>
      <c r="D154" s="323"/>
      <c r="E154" s="323"/>
      <c r="F154" s="323"/>
      <c r="G154" s="321"/>
      <c r="H154" s="321"/>
      <c r="I154" s="324"/>
      <c r="J154" s="324"/>
      <c r="K154" s="320"/>
      <c r="L154" s="325"/>
    </row>
    <row r="155" spans="1:12" x14ac:dyDescent="0.3">
      <c r="A155" s="322"/>
      <c r="B155" s="323"/>
      <c r="C155" s="323"/>
      <c r="D155" s="323"/>
      <c r="E155" s="323"/>
      <c r="F155" s="323"/>
      <c r="G155" s="321"/>
      <c r="H155" s="321"/>
      <c r="I155" s="324"/>
      <c r="J155" s="324"/>
      <c r="K155" s="320"/>
      <c r="L155" s="325"/>
    </row>
    <row r="156" spans="1:12" x14ac:dyDescent="0.3">
      <c r="A156" s="322"/>
      <c r="B156" s="323"/>
      <c r="C156" s="323"/>
      <c r="D156" s="323"/>
      <c r="E156" s="323"/>
      <c r="F156" s="323"/>
      <c r="G156" s="321"/>
      <c r="H156" s="321"/>
      <c r="I156" s="324"/>
      <c r="J156" s="324"/>
      <c r="K156" s="320"/>
      <c r="L156" s="325"/>
    </row>
    <row r="157" spans="1:12" x14ac:dyDescent="0.3">
      <c r="A157" s="322"/>
      <c r="B157" s="323"/>
      <c r="C157" s="323"/>
      <c r="D157" s="323"/>
      <c r="E157" s="323"/>
      <c r="F157" s="323"/>
      <c r="G157" s="321"/>
      <c r="H157" s="321"/>
      <c r="I157" s="324"/>
      <c r="J157" s="324"/>
      <c r="K157" s="320"/>
      <c r="L157" s="325"/>
    </row>
    <row r="158" spans="1:12" x14ac:dyDescent="0.3">
      <c r="A158" s="322"/>
      <c r="B158" s="323"/>
      <c r="C158" s="323"/>
      <c r="D158" s="323"/>
      <c r="E158" s="323"/>
      <c r="F158" s="323"/>
      <c r="G158" s="321"/>
      <c r="H158" s="321"/>
      <c r="I158" s="324"/>
      <c r="J158" s="324"/>
      <c r="K158" s="320"/>
      <c r="L158" s="325"/>
    </row>
    <row r="159" spans="1:12" x14ac:dyDescent="0.3">
      <c r="A159" s="322"/>
      <c r="B159" s="323"/>
      <c r="C159" s="323"/>
      <c r="D159" s="323"/>
      <c r="E159" s="323"/>
      <c r="F159" s="323"/>
      <c r="G159" s="321"/>
      <c r="H159" s="321"/>
      <c r="I159" s="324"/>
      <c r="J159" s="324"/>
      <c r="K159" s="320"/>
      <c r="L159" s="325"/>
    </row>
  </sheetData>
  <mergeCells count="2">
    <mergeCell ref="B1:C1"/>
    <mergeCell ref="D1:I4"/>
  </mergeCells>
  <dataValidations count="3">
    <dataValidation type="list" allowBlank="1" showInputMessage="1" sqref="B27:B159 B7:B23" xr:uid="{00000000-0002-0000-0300-000000000000}">
      <formula1>ddl_HandlerName</formula1>
    </dataValidation>
    <dataValidation type="list" allowBlank="1" sqref="C27:C159 C7:C23" xr:uid="{00000000-0002-0000-0300-000001000000}">
      <formula1>ddl_FederalOrder</formula1>
    </dataValidation>
    <dataValidation type="list" allowBlank="1" sqref="F27:F159 F7:F23" xr:uid="{00000000-0002-0000-0300-000002000000}">
      <formula1>ddl_ProductClass</formula1>
    </dataValidation>
  </dataValidations>
  <pageMargins left="0.24" right="0.23" top="0.75" bottom="0.3" header="0.3" footer="0.3"/>
  <pageSetup scale="63" fitToHeight="2" orientation="landscape" r:id="rId1"/>
  <ignoredErrors>
    <ignoredError sqref="G83:L159" listDataValidation="1"/>
  </ignoredErrors>
  <tableParts count="1">
    <tablePart r:id="rId2"/>
  </tableParts>
  <extLst>
    <ext xmlns:x14="http://schemas.microsoft.com/office/spreadsheetml/2009/9/main" uri="{CCE6A557-97BC-4b89-ADB6-D9C93CAAB3DF}">
      <x14:dataValidations xmlns:xm="http://schemas.microsoft.com/office/excel/2006/main" count="3">
        <x14:dataValidation type="list" allowBlank="1" xr:uid="{00000000-0002-0000-0300-000003000000}">
          <x14:formula1>
            <xm:f>IF(Summary!$K$10 = "9C",Utilization_ReportCategoryCoop,Utilization_ReportCategory)</xm:f>
          </x14:formula1>
          <xm:sqref>A7:A159</xm:sqref>
        </x14:dataValidation>
        <x14:dataValidation type="list" allowBlank="1" xr:uid="{00000000-0002-0000-0300-000004000000}">
          <x14:formula1>
            <xm:f>IF(Summary!$K$10 = "9C",Utilization_ProductTypeCoop,Utilization_ProductType)</xm:f>
          </x14:formula1>
          <xm:sqref>D7:D159</xm:sqref>
        </x14:dataValidation>
        <x14:dataValidation type="list" allowBlank="1" xr:uid="{00000000-0002-0000-0300-000005000000}">
          <x14:formula1>
            <xm:f>IF(Summary!$K$10 = "9C",Utilization_ProductCodeCoop,Utilization_ProductCode)</xm:f>
          </x14:formula1>
          <xm:sqref>E7:E159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56"/>
  <sheetViews>
    <sheetView showGridLines="0" zoomScaleNormal="100" workbookViewId="0">
      <pane ySplit="12" topLeftCell="A13" activePane="bottomLeft" state="frozen"/>
      <selection pane="bottomLeft" activeCell="B27" sqref="B27"/>
    </sheetView>
  </sheetViews>
  <sheetFormatPr defaultColWidth="8.88671875" defaultRowHeight="14.4" x14ac:dyDescent="0.3"/>
  <cols>
    <col min="1" max="1" width="16" style="261" customWidth="1"/>
    <col min="2" max="2" width="22.6640625" style="261" customWidth="1"/>
    <col min="3" max="3" width="15.6640625" style="261" bestFit="1" customWidth="1"/>
    <col min="4" max="4" width="16.5546875" style="261" bestFit="1" customWidth="1"/>
    <col min="5" max="5" width="10.88671875" style="5" bestFit="1" customWidth="1"/>
    <col min="6" max="6" width="15.33203125" style="5" bestFit="1" customWidth="1"/>
    <col min="7" max="7" width="37.33203125" style="5" customWidth="1"/>
    <col min="8" max="8" width="21.33203125" style="5" customWidth="1"/>
    <col min="9" max="16384" width="8.88671875" style="5"/>
  </cols>
  <sheetData>
    <row r="1" spans="1:8" s="67" customFormat="1" x14ac:dyDescent="0.3">
      <c r="A1" s="53" t="s">
        <v>113</v>
      </c>
      <c r="B1" s="361">
        <f>rng_Handler</f>
        <v>0</v>
      </c>
      <c r="C1" s="361"/>
      <c r="D1" s="68"/>
      <c r="E1" s="69"/>
    </row>
    <row r="2" spans="1:8" s="67" customFormat="1" x14ac:dyDescent="0.3">
      <c r="A2" s="53" t="s">
        <v>115</v>
      </c>
      <c r="B2" s="54" t="str">
        <f>IF(Summary!B10="","",DATE(Summary!A10, Summary!B10, 10))</f>
        <v/>
      </c>
      <c r="C2" s="55"/>
      <c r="D2" s="54"/>
      <c r="E2" s="70"/>
    </row>
    <row r="3" spans="1:8" s="67" customFormat="1" x14ac:dyDescent="0.3">
      <c r="A3" s="53" t="s">
        <v>114</v>
      </c>
      <c r="B3" s="56">
        <f>Summary!C10</f>
        <v>51</v>
      </c>
      <c r="C3" s="55"/>
      <c r="D3" s="56"/>
      <c r="E3" s="70"/>
    </row>
    <row r="4" spans="1:8" s="67" customFormat="1" x14ac:dyDescent="0.3">
      <c r="A4" s="53" t="s">
        <v>181</v>
      </c>
      <c r="B4" s="56" t="str">
        <f>Summary!A10 &amp; Summary!B10</f>
        <v/>
      </c>
      <c r="C4" s="61"/>
      <c r="D4" s="56"/>
      <c r="E4" s="70"/>
    </row>
    <row r="5" spans="1:8" ht="15.6" customHeight="1" x14ac:dyDescent="0.3">
      <c r="A5" s="363" t="s">
        <v>166</v>
      </c>
      <c r="B5" s="333"/>
      <c r="C5" s="333"/>
      <c r="D5" s="52"/>
      <c r="H5" s="31"/>
    </row>
    <row r="6" spans="1:8" s="49" customFormat="1" ht="15" customHeight="1" x14ac:dyDescent="0.3">
      <c r="A6" s="333"/>
      <c r="B6" s="333"/>
      <c r="C6" s="333"/>
      <c r="D6" s="52"/>
      <c r="H6" s="50"/>
    </row>
    <row r="7" spans="1:8" s="49" customFormat="1" ht="15.6" customHeight="1" x14ac:dyDescent="0.3">
      <c r="A7" s="333"/>
      <c r="B7" s="333"/>
      <c r="C7" s="333"/>
      <c r="D7" s="52"/>
      <c r="H7" s="50"/>
    </row>
    <row r="8" spans="1:8" s="49" customFormat="1" ht="16.95" customHeight="1" x14ac:dyDescent="0.3">
      <c r="A8" s="51"/>
      <c r="B8" s="51"/>
      <c r="C8" s="51"/>
      <c r="D8" s="51"/>
      <c r="H8" s="50"/>
    </row>
    <row r="9" spans="1:8" ht="24" customHeight="1" x14ac:dyDescent="0.35">
      <c r="A9" s="5"/>
      <c r="B9" s="40" t="s">
        <v>168</v>
      </c>
      <c r="C9" s="41">
        <f>SUMIF(tbl_Area_Sales[To
Order No.],rng_Order,tbl_Area_Sales[Product Pounds])</f>
        <v>0</v>
      </c>
      <c r="D9" s="42">
        <f>SUMIF(tbl_Area_Sales[To
Order No.],rng_Order,tbl_Area_Sales[Butterfat 
Pounds])</f>
        <v>0</v>
      </c>
      <c r="E9" s="31"/>
      <c r="F9" s="31"/>
    </row>
    <row r="10" spans="1:8" ht="18" customHeight="1" x14ac:dyDescent="0.35">
      <c r="A10" s="5"/>
      <c r="B10" s="40" t="s">
        <v>169</v>
      </c>
      <c r="C10" s="41">
        <f>SUMIF(tbl_Area_Sales[To
Order No.],"&lt;&gt;"&amp;rng_Order,tbl_Area_Sales[Product Pounds])</f>
        <v>0</v>
      </c>
      <c r="D10" s="42">
        <f>SUMIF(tbl_Area_Sales[To
Order No.],"&lt;&gt;"&amp;rng_Order,tbl_Area_Sales[Butterfat 
Pounds])</f>
        <v>0</v>
      </c>
      <c r="E10" s="31"/>
      <c r="F10" s="31"/>
    </row>
    <row r="11" spans="1:8" ht="22.95" customHeight="1" x14ac:dyDescent="0.35">
      <c r="A11" s="5"/>
      <c r="B11" s="40" t="s">
        <v>119</v>
      </c>
      <c r="C11" s="41">
        <f>SUM(tbl_Area_Sales[Product Pounds])</f>
        <v>0</v>
      </c>
      <c r="D11" s="42">
        <f>SUM(tbl_Area_Sales[Butterfat 
Pounds])</f>
        <v>0</v>
      </c>
      <c r="E11" s="31"/>
      <c r="F11" s="31"/>
    </row>
    <row r="12" spans="1:8" ht="30.6" customHeight="1" x14ac:dyDescent="0.3">
      <c r="A12" s="43" t="s">
        <v>165</v>
      </c>
      <c r="B12" s="43" t="s">
        <v>123</v>
      </c>
      <c r="C12" s="44" t="s">
        <v>163</v>
      </c>
      <c r="D12" s="44" t="s">
        <v>120</v>
      </c>
      <c r="E12" s="31"/>
    </row>
    <row r="13" spans="1:8" ht="17.399999999999999" customHeight="1" x14ac:dyDescent="0.3">
      <c r="A13" s="320">
        <v>51</v>
      </c>
      <c r="B13" s="320" t="s">
        <v>244</v>
      </c>
      <c r="C13" s="321"/>
      <c r="D13" s="321"/>
      <c r="E13" s="31"/>
    </row>
    <row r="14" spans="1:8" x14ac:dyDescent="0.3">
      <c r="A14" s="320">
        <v>51</v>
      </c>
      <c r="B14" s="320" t="s">
        <v>238</v>
      </c>
      <c r="C14" s="321"/>
      <c r="D14" s="321"/>
    </row>
    <row r="15" spans="1:8" x14ac:dyDescent="0.3">
      <c r="A15" s="320">
        <v>51</v>
      </c>
      <c r="B15" s="320" t="s">
        <v>239</v>
      </c>
      <c r="C15" s="321"/>
      <c r="D15" s="321"/>
    </row>
    <row r="16" spans="1:8" x14ac:dyDescent="0.3">
      <c r="A16" s="320">
        <v>51</v>
      </c>
      <c r="B16" s="320" t="s">
        <v>225</v>
      </c>
      <c r="C16" s="321"/>
      <c r="D16" s="321"/>
    </row>
    <row r="17" spans="1:4" x14ac:dyDescent="0.3">
      <c r="A17" s="320">
        <v>51</v>
      </c>
      <c r="B17" s="320" t="s">
        <v>226</v>
      </c>
      <c r="C17" s="321"/>
      <c r="D17" s="321"/>
    </row>
    <row r="18" spans="1:4" x14ac:dyDescent="0.3">
      <c r="A18" s="320">
        <v>51</v>
      </c>
      <c r="B18" s="320" t="s">
        <v>218</v>
      </c>
      <c r="C18" s="321"/>
      <c r="D18" s="321"/>
    </row>
    <row r="19" spans="1:4" x14ac:dyDescent="0.3">
      <c r="A19" s="320"/>
      <c r="B19" s="320" t="s">
        <v>244</v>
      </c>
      <c r="C19" s="321"/>
      <c r="D19" s="321"/>
    </row>
    <row r="20" spans="1:4" x14ac:dyDescent="0.3">
      <c r="A20" s="320"/>
      <c r="B20" s="320" t="s">
        <v>238</v>
      </c>
      <c r="C20" s="321"/>
      <c r="D20" s="321"/>
    </row>
    <row r="21" spans="1:4" x14ac:dyDescent="0.3">
      <c r="A21" s="320"/>
      <c r="B21" s="320" t="s">
        <v>239</v>
      </c>
      <c r="C21" s="321"/>
      <c r="D21" s="321"/>
    </row>
    <row r="22" spans="1:4" x14ac:dyDescent="0.3">
      <c r="A22" s="320"/>
      <c r="B22" s="320" t="s">
        <v>225</v>
      </c>
      <c r="C22" s="321"/>
      <c r="D22" s="321"/>
    </row>
    <row r="23" spans="1:4" x14ac:dyDescent="0.3">
      <c r="A23" s="320"/>
      <c r="B23" s="320" t="s">
        <v>226</v>
      </c>
      <c r="C23" s="321"/>
      <c r="D23" s="321"/>
    </row>
    <row r="24" spans="1:4" x14ac:dyDescent="0.3">
      <c r="A24" s="320"/>
      <c r="B24" s="320" t="s">
        <v>218</v>
      </c>
      <c r="C24" s="321"/>
      <c r="D24" s="321"/>
    </row>
    <row r="25" spans="1:4" x14ac:dyDescent="0.3">
      <c r="A25" s="320"/>
      <c r="B25" s="320"/>
      <c r="C25" s="321"/>
      <c r="D25" s="321"/>
    </row>
    <row r="26" spans="1:4" x14ac:dyDescent="0.3">
      <c r="A26" s="320"/>
      <c r="B26" s="320"/>
      <c r="C26" s="321"/>
      <c r="D26" s="321"/>
    </row>
    <row r="27" spans="1:4" x14ac:dyDescent="0.3">
      <c r="A27" s="320"/>
      <c r="B27" s="320"/>
      <c r="C27" s="321"/>
      <c r="D27" s="321"/>
    </row>
    <row r="28" spans="1:4" x14ac:dyDescent="0.3">
      <c r="A28" s="320"/>
      <c r="B28" s="320"/>
      <c r="C28" s="321"/>
      <c r="D28" s="321"/>
    </row>
    <row r="29" spans="1:4" x14ac:dyDescent="0.3">
      <c r="A29" s="320"/>
      <c r="B29" s="320"/>
      <c r="C29" s="321"/>
      <c r="D29" s="321"/>
    </row>
    <row r="30" spans="1:4" x14ac:dyDescent="0.3">
      <c r="A30" s="320"/>
      <c r="B30" s="320"/>
      <c r="C30" s="321"/>
      <c r="D30" s="321"/>
    </row>
    <row r="31" spans="1:4" x14ac:dyDescent="0.3">
      <c r="A31" s="320"/>
      <c r="B31" s="320"/>
      <c r="C31" s="321"/>
      <c r="D31" s="321"/>
    </row>
    <row r="32" spans="1:4" x14ac:dyDescent="0.3">
      <c r="A32" s="320"/>
      <c r="B32" s="320"/>
      <c r="C32" s="321"/>
      <c r="D32" s="321"/>
    </row>
    <row r="33" spans="1:4" x14ac:dyDescent="0.3">
      <c r="A33" s="320"/>
      <c r="B33" s="320"/>
      <c r="C33" s="321"/>
      <c r="D33" s="321"/>
    </row>
    <row r="34" spans="1:4" x14ac:dyDescent="0.3">
      <c r="A34" s="320"/>
      <c r="B34" s="320"/>
      <c r="C34" s="321"/>
      <c r="D34" s="321"/>
    </row>
    <row r="35" spans="1:4" x14ac:dyDescent="0.3">
      <c r="A35" s="320"/>
      <c r="B35" s="320"/>
      <c r="C35" s="321"/>
      <c r="D35" s="321"/>
    </row>
    <row r="36" spans="1:4" x14ac:dyDescent="0.3">
      <c r="A36" s="320"/>
      <c r="B36" s="320"/>
      <c r="C36" s="321"/>
      <c r="D36" s="321"/>
    </row>
    <row r="37" spans="1:4" x14ac:dyDescent="0.3">
      <c r="A37" s="320"/>
      <c r="B37" s="320"/>
      <c r="C37" s="321"/>
      <c r="D37" s="321"/>
    </row>
    <row r="38" spans="1:4" x14ac:dyDescent="0.3">
      <c r="A38" s="320"/>
      <c r="B38" s="320"/>
      <c r="C38" s="321"/>
      <c r="D38" s="321"/>
    </row>
    <row r="39" spans="1:4" x14ac:dyDescent="0.3">
      <c r="A39" s="320"/>
      <c r="B39" s="320"/>
      <c r="C39" s="321"/>
      <c r="D39" s="321"/>
    </row>
    <row r="40" spans="1:4" x14ac:dyDescent="0.3">
      <c r="A40" s="320"/>
      <c r="B40" s="320"/>
      <c r="C40" s="321"/>
      <c r="D40" s="321"/>
    </row>
    <row r="41" spans="1:4" x14ac:dyDescent="0.3">
      <c r="A41" s="320"/>
      <c r="B41" s="320"/>
      <c r="C41" s="321"/>
      <c r="D41" s="321"/>
    </row>
    <row r="42" spans="1:4" x14ac:dyDescent="0.3">
      <c r="A42" s="320"/>
      <c r="B42" s="320"/>
      <c r="C42" s="321"/>
      <c r="D42" s="321"/>
    </row>
    <row r="43" spans="1:4" x14ac:dyDescent="0.3">
      <c r="A43" s="320"/>
      <c r="B43" s="320"/>
      <c r="C43" s="321"/>
      <c r="D43" s="321"/>
    </row>
    <row r="44" spans="1:4" x14ac:dyDescent="0.3">
      <c r="A44" s="320"/>
      <c r="B44" s="320"/>
      <c r="C44" s="321"/>
      <c r="D44" s="321"/>
    </row>
    <row r="45" spans="1:4" x14ac:dyDescent="0.3">
      <c r="A45" s="320"/>
      <c r="B45" s="320"/>
      <c r="C45" s="321"/>
      <c r="D45" s="321"/>
    </row>
    <row r="46" spans="1:4" x14ac:dyDescent="0.3">
      <c r="A46" s="320"/>
      <c r="B46" s="320"/>
      <c r="C46" s="321"/>
      <c r="D46" s="321"/>
    </row>
    <row r="47" spans="1:4" x14ac:dyDescent="0.3">
      <c r="A47" s="320"/>
      <c r="B47" s="320"/>
      <c r="C47" s="321"/>
      <c r="D47" s="321"/>
    </row>
    <row r="48" spans="1:4" x14ac:dyDescent="0.3">
      <c r="A48" s="320"/>
      <c r="B48" s="320"/>
      <c r="C48" s="321"/>
      <c r="D48" s="321"/>
    </row>
    <row r="49" spans="1:4" x14ac:dyDescent="0.3">
      <c r="A49" s="320"/>
      <c r="B49" s="320"/>
      <c r="C49" s="321"/>
      <c r="D49" s="321"/>
    </row>
    <row r="50" spans="1:4" x14ac:dyDescent="0.3">
      <c r="A50" s="320"/>
      <c r="B50" s="320"/>
      <c r="C50" s="321"/>
      <c r="D50" s="321"/>
    </row>
    <row r="51" spans="1:4" x14ac:dyDescent="0.3">
      <c r="A51" s="320"/>
      <c r="B51" s="320"/>
      <c r="C51" s="321"/>
      <c r="D51" s="321"/>
    </row>
    <row r="52" spans="1:4" x14ac:dyDescent="0.3">
      <c r="A52" s="320"/>
      <c r="B52" s="320"/>
      <c r="C52" s="321"/>
      <c r="D52" s="321"/>
    </row>
    <row r="53" spans="1:4" x14ac:dyDescent="0.3">
      <c r="A53" s="320"/>
      <c r="B53" s="320"/>
      <c r="C53" s="321"/>
      <c r="D53" s="321"/>
    </row>
    <row r="54" spans="1:4" x14ac:dyDescent="0.3">
      <c r="A54" s="320"/>
      <c r="B54" s="320"/>
      <c r="C54" s="321"/>
      <c r="D54" s="321"/>
    </row>
    <row r="55" spans="1:4" x14ac:dyDescent="0.3">
      <c r="A55" s="320"/>
      <c r="B55" s="320"/>
      <c r="C55" s="321"/>
      <c r="D55" s="321"/>
    </row>
    <row r="56" spans="1:4" x14ac:dyDescent="0.3">
      <c r="A56" s="320"/>
      <c r="B56" s="320"/>
      <c r="C56" s="321"/>
      <c r="D56" s="321"/>
    </row>
    <row r="57" spans="1:4" x14ac:dyDescent="0.3">
      <c r="A57" s="320"/>
      <c r="B57" s="320"/>
      <c r="C57" s="321"/>
      <c r="D57" s="321"/>
    </row>
    <row r="58" spans="1:4" x14ac:dyDescent="0.3">
      <c r="A58" s="320"/>
      <c r="B58" s="320"/>
      <c r="C58" s="321"/>
      <c r="D58" s="321"/>
    </row>
    <row r="59" spans="1:4" x14ac:dyDescent="0.3">
      <c r="A59" s="320"/>
      <c r="B59" s="320"/>
      <c r="C59" s="321"/>
      <c r="D59" s="321"/>
    </row>
    <row r="60" spans="1:4" x14ac:dyDescent="0.3">
      <c r="A60" s="320"/>
      <c r="B60" s="320"/>
      <c r="C60" s="321"/>
      <c r="D60" s="321"/>
    </row>
    <row r="61" spans="1:4" x14ac:dyDescent="0.3">
      <c r="A61" s="320"/>
      <c r="B61" s="320"/>
      <c r="C61" s="321"/>
      <c r="D61" s="321"/>
    </row>
    <row r="62" spans="1:4" x14ac:dyDescent="0.3">
      <c r="A62" s="320"/>
      <c r="B62" s="320"/>
      <c r="C62" s="321"/>
      <c r="D62" s="321"/>
    </row>
    <row r="63" spans="1:4" x14ac:dyDescent="0.3">
      <c r="A63" s="320"/>
      <c r="B63" s="320"/>
      <c r="C63" s="321"/>
      <c r="D63" s="321"/>
    </row>
    <row r="64" spans="1:4" x14ac:dyDescent="0.3">
      <c r="A64" s="320"/>
      <c r="B64" s="320"/>
      <c r="C64" s="321"/>
      <c r="D64" s="321"/>
    </row>
    <row r="65" spans="1:4" x14ac:dyDescent="0.3">
      <c r="A65" s="320"/>
      <c r="B65" s="320"/>
      <c r="C65" s="321"/>
      <c r="D65" s="321"/>
    </row>
    <row r="66" spans="1:4" x14ac:dyDescent="0.3">
      <c r="A66" s="320"/>
      <c r="B66" s="320"/>
      <c r="C66" s="321"/>
      <c r="D66" s="321"/>
    </row>
    <row r="67" spans="1:4" x14ac:dyDescent="0.3">
      <c r="A67" s="320"/>
      <c r="B67" s="320"/>
      <c r="C67" s="321"/>
      <c r="D67" s="321"/>
    </row>
    <row r="68" spans="1:4" x14ac:dyDescent="0.3">
      <c r="A68" s="320"/>
      <c r="B68" s="320"/>
      <c r="C68" s="321"/>
      <c r="D68" s="321"/>
    </row>
    <row r="69" spans="1:4" x14ac:dyDescent="0.3">
      <c r="A69" s="320"/>
      <c r="B69" s="320"/>
      <c r="C69" s="321"/>
      <c r="D69" s="321"/>
    </row>
    <row r="70" spans="1:4" x14ac:dyDescent="0.3">
      <c r="A70" s="320"/>
      <c r="B70" s="320"/>
      <c r="C70" s="321"/>
      <c r="D70" s="321"/>
    </row>
    <row r="71" spans="1:4" x14ac:dyDescent="0.3">
      <c r="A71" s="320"/>
      <c r="B71" s="320"/>
      <c r="C71" s="321"/>
      <c r="D71" s="321"/>
    </row>
    <row r="72" spans="1:4" x14ac:dyDescent="0.3">
      <c r="A72" s="320"/>
      <c r="B72" s="320"/>
      <c r="C72" s="321"/>
      <c r="D72" s="321"/>
    </row>
    <row r="73" spans="1:4" x14ac:dyDescent="0.3">
      <c r="A73" s="320"/>
      <c r="B73" s="320"/>
      <c r="C73" s="321"/>
      <c r="D73" s="321"/>
    </row>
    <row r="74" spans="1:4" x14ac:dyDescent="0.3">
      <c r="A74" s="320"/>
      <c r="B74" s="320"/>
      <c r="C74" s="321"/>
      <c r="D74" s="321"/>
    </row>
    <row r="75" spans="1:4" x14ac:dyDescent="0.3">
      <c r="A75" s="320"/>
      <c r="B75" s="320"/>
      <c r="C75" s="321"/>
      <c r="D75" s="321"/>
    </row>
    <row r="76" spans="1:4" x14ac:dyDescent="0.3">
      <c r="A76" s="320"/>
      <c r="B76" s="320"/>
      <c r="C76" s="321"/>
      <c r="D76" s="321"/>
    </row>
    <row r="77" spans="1:4" x14ac:dyDescent="0.3">
      <c r="A77" s="320"/>
      <c r="B77" s="320"/>
      <c r="C77" s="321"/>
      <c r="D77" s="321"/>
    </row>
    <row r="78" spans="1:4" x14ac:dyDescent="0.3">
      <c r="A78" s="320"/>
      <c r="B78" s="320"/>
      <c r="C78" s="321"/>
      <c r="D78" s="321"/>
    </row>
    <row r="79" spans="1:4" x14ac:dyDescent="0.3">
      <c r="A79" s="320"/>
      <c r="B79" s="320"/>
      <c r="C79" s="321"/>
      <c r="D79" s="321"/>
    </row>
    <row r="80" spans="1:4" x14ac:dyDescent="0.3">
      <c r="A80" s="320"/>
      <c r="B80" s="320"/>
      <c r="C80" s="321"/>
      <c r="D80" s="321"/>
    </row>
    <row r="81" spans="1:4" x14ac:dyDescent="0.3">
      <c r="A81" s="320"/>
      <c r="B81" s="320"/>
      <c r="C81" s="321"/>
      <c r="D81" s="321"/>
    </row>
    <row r="82" spans="1:4" x14ac:dyDescent="0.3">
      <c r="A82" s="320"/>
      <c r="B82" s="320"/>
      <c r="C82" s="321"/>
      <c r="D82" s="321"/>
    </row>
    <row r="83" spans="1:4" x14ac:dyDescent="0.3">
      <c r="A83" s="320"/>
      <c r="B83" s="320"/>
      <c r="C83" s="321"/>
      <c r="D83" s="321"/>
    </row>
    <row r="84" spans="1:4" x14ac:dyDescent="0.3">
      <c r="A84" s="320"/>
      <c r="B84" s="320"/>
      <c r="C84" s="321"/>
      <c r="D84" s="321"/>
    </row>
    <row r="85" spans="1:4" x14ac:dyDescent="0.3">
      <c r="A85" s="320"/>
      <c r="B85" s="320"/>
      <c r="C85" s="321"/>
      <c r="D85" s="321"/>
    </row>
    <row r="86" spans="1:4" x14ac:dyDescent="0.3">
      <c r="A86" s="320"/>
      <c r="B86" s="320"/>
      <c r="C86" s="321"/>
      <c r="D86" s="321"/>
    </row>
    <row r="87" spans="1:4" x14ac:dyDescent="0.3">
      <c r="A87" s="320"/>
      <c r="B87" s="320"/>
      <c r="C87" s="321"/>
      <c r="D87" s="321"/>
    </row>
    <row r="88" spans="1:4" x14ac:dyDescent="0.3">
      <c r="A88" s="320"/>
      <c r="B88" s="320"/>
      <c r="C88" s="321"/>
      <c r="D88" s="321"/>
    </row>
    <row r="89" spans="1:4" x14ac:dyDescent="0.3">
      <c r="A89" s="320"/>
      <c r="B89" s="320"/>
      <c r="C89" s="321"/>
      <c r="D89" s="321"/>
    </row>
    <row r="90" spans="1:4" x14ac:dyDescent="0.3">
      <c r="A90" s="320"/>
      <c r="B90" s="320"/>
      <c r="C90" s="321"/>
      <c r="D90" s="321"/>
    </row>
    <row r="91" spans="1:4" x14ac:dyDescent="0.3">
      <c r="A91" s="320"/>
      <c r="B91" s="320"/>
      <c r="C91" s="321"/>
      <c r="D91" s="321"/>
    </row>
    <row r="92" spans="1:4" x14ac:dyDescent="0.3">
      <c r="A92" s="320"/>
      <c r="B92" s="320"/>
      <c r="C92" s="321"/>
      <c r="D92" s="321"/>
    </row>
    <row r="93" spans="1:4" x14ac:dyDescent="0.3">
      <c r="A93" s="320"/>
      <c r="B93" s="320"/>
      <c r="C93" s="321"/>
      <c r="D93" s="321"/>
    </row>
    <row r="94" spans="1:4" x14ac:dyDescent="0.3">
      <c r="A94" s="320"/>
      <c r="B94" s="320"/>
      <c r="C94" s="321"/>
      <c r="D94" s="321"/>
    </row>
    <row r="95" spans="1:4" x14ac:dyDescent="0.3">
      <c r="A95" s="320"/>
      <c r="B95" s="320"/>
      <c r="C95" s="321"/>
      <c r="D95" s="321"/>
    </row>
    <row r="96" spans="1:4" x14ac:dyDescent="0.3">
      <c r="A96" s="320"/>
      <c r="B96" s="320"/>
      <c r="C96" s="321"/>
      <c r="D96" s="321"/>
    </row>
    <row r="97" spans="1:4" x14ac:dyDescent="0.3">
      <c r="A97" s="320"/>
      <c r="B97" s="320"/>
      <c r="C97" s="321"/>
      <c r="D97" s="321"/>
    </row>
    <row r="98" spans="1:4" x14ac:dyDescent="0.3">
      <c r="A98" s="320"/>
      <c r="B98" s="320"/>
      <c r="C98" s="321"/>
      <c r="D98" s="321"/>
    </row>
    <row r="99" spans="1:4" x14ac:dyDescent="0.3">
      <c r="A99" s="320"/>
      <c r="B99" s="320"/>
      <c r="C99" s="321"/>
      <c r="D99" s="321"/>
    </row>
    <row r="100" spans="1:4" x14ac:dyDescent="0.3">
      <c r="A100" s="320"/>
      <c r="B100" s="320"/>
      <c r="C100" s="321"/>
      <c r="D100" s="321"/>
    </row>
    <row r="101" spans="1:4" x14ac:dyDescent="0.3">
      <c r="A101" s="320"/>
      <c r="B101" s="320"/>
      <c r="C101" s="321"/>
      <c r="D101" s="321"/>
    </row>
    <row r="102" spans="1:4" x14ac:dyDescent="0.3">
      <c r="A102" s="320"/>
      <c r="B102" s="320"/>
      <c r="C102" s="321"/>
      <c r="D102" s="321"/>
    </row>
    <row r="103" spans="1:4" x14ac:dyDescent="0.3">
      <c r="A103" s="320"/>
      <c r="B103" s="320"/>
      <c r="C103" s="321"/>
      <c r="D103" s="321"/>
    </row>
    <row r="104" spans="1:4" x14ac:dyDescent="0.3">
      <c r="A104" s="320"/>
      <c r="B104" s="320"/>
      <c r="C104" s="321"/>
      <c r="D104" s="321"/>
    </row>
    <row r="105" spans="1:4" x14ac:dyDescent="0.3">
      <c r="A105" s="320"/>
      <c r="B105" s="320"/>
      <c r="C105" s="321"/>
      <c r="D105" s="321"/>
    </row>
    <row r="106" spans="1:4" x14ac:dyDescent="0.3">
      <c r="A106" s="320"/>
      <c r="B106" s="320"/>
      <c r="C106" s="321"/>
      <c r="D106" s="321"/>
    </row>
    <row r="107" spans="1:4" x14ac:dyDescent="0.3">
      <c r="A107" s="320"/>
      <c r="B107" s="320"/>
      <c r="C107" s="321"/>
      <c r="D107" s="321"/>
    </row>
    <row r="108" spans="1:4" x14ac:dyDescent="0.3">
      <c r="A108" s="320"/>
      <c r="B108" s="320"/>
      <c r="C108" s="321"/>
      <c r="D108" s="321"/>
    </row>
    <row r="109" spans="1:4" x14ac:dyDescent="0.3">
      <c r="A109" s="320"/>
      <c r="B109" s="320"/>
      <c r="C109" s="321"/>
      <c r="D109" s="321"/>
    </row>
    <row r="110" spans="1:4" x14ac:dyDescent="0.3">
      <c r="A110" s="320"/>
      <c r="B110" s="320"/>
      <c r="C110" s="321"/>
      <c r="D110" s="321"/>
    </row>
    <row r="111" spans="1:4" x14ac:dyDescent="0.3">
      <c r="A111" s="320"/>
      <c r="B111" s="320"/>
      <c r="C111" s="321"/>
      <c r="D111" s="321"/>
    </row>
    <row r="112" spans="1:4" x14ac:dyDescent="0.3">
      <c r="A112" s="320"/>
      <c r="B112" s="320"/>
      <c r="C112" s="321"/>
      <c r="D112" s="321"/>
    </row>
    <row r="113" spans="1:4" x14ac:dyDescent="0.3">
      <c r="A113" s="320"/>
      <c r="B113" s="320"/>
      <c r="C113" s="321"/>
      <c r="D113" s="321"/>
    </row>
    <row r="114" spans="1:4" x14ac:dyDescent="0.3">
      <c r="A114" s="320"/>
      <c r="B114" s="320"/>
      <c r="C114" s="321"/>
      <c r="D114" s="321"/>
    </row>
    <row r="115" spans="1:4" x14ac:dyDescent="0.3">
      <c r="A115" s="320"/>
      <c r="B115" s="320"/>
      <c r="C115" s="321"/>
      <c r="D115" s="321"/>
    </row>
    <row r="116" spans="1:4" x14ac:dyDescent="0.3">
      <c r="A116" s="320"/>
      <c r="B116" s="320"/>
      <c r="C116" s="321"/>
      <c r="D116" s="321"/>
    </row>
    <row r="117" spans="1:4" x14ac:dyDescent="0.3">
      <c r="A117" s="320"/>
      <c r="B117" s="320"/>
      <c r="C117" s="321"/>
      <c r="D117" s="321"/>
    </row>
    <row r="118" spans="1:4" x14ac:dyDescent="0.3">
      <c r="A118" s="320"/>
      <c r="B118" s="320"/>
      <c r="C118" s="321"/>
      <c r="D118" s="321"/>
    </row>
    <row r="119" spans="1:4" x14ac:dyDescent="0.3">
      <c r="A119" s="320"/>
      <c r="B119" s="320"/>
      <c r="C119" s="321"/>
      <c r="D119" s="321"/>
    </row>
    <row r="120" spans="1:4" x14ac:dyDescent="0.3">
      <c r="A120" s="320"/>
      <c r="B120" s="320"/>
      <c r="C120" s="321"/>
      <c r="D120" s="321"/>
    </row>
    <row r="121" spans="1:4" x14ac:dyDescent="0.3">
      <c r="A121" s="320"/>
      <c r="B121" s="320"/>
      <c r="C121" s="321"/>
      <c r="D121" s="321"/>
    </row>
    <row r="122" spans="1:4" x14ac:dyDescent="0.3">
      <c r="A122" s="320"/>
      <c r="B122" s="320"/>
      <c r="C122" s="321"/>
      <c r="D122" s="321"/>
    </row>
    <row r="123" spans="1:4" x14ac:dyDescent="0.3">
      <c r="A123" s="320"/>
      <c r="B123" s="320"/>
      <c r="C123" s="321"/>
      <c r="D123" s="321"/>
    </row>
    <row r="124" spans="1:4" x14ac:dyDescent="0.3">
      <c r="A124" s="320"/>
      <c r="B124" s="320"/>
      <c r="C124" s="321"/>
      <c r="D124" s="321"/>
    </row>
    <row r="125" spans="1:4" x14ac:dyDescent="0.3">
      <c r="A125" s="320"/>
      <c r="B125" s="320"/>
      <c r="C125" s="321"/>
      <c r="D125" s="321"/>
    </row>
    <row r="126" spans="1:4" x14ac:dyDescent="0.3">
      <c r="A126" s="320"/>
      <c r="B126" s="320"/>
      <c r="C126" s="321"/>
      <c r="D126" s="321"/>
    </row>
    <row r="127" spans="1:4" x14ac:dyDescent="0.3">
      <c r="A127" s="320"/>
      <c r="B127" s="320"/>
      <c r="C127" s="321"/>
      <c r="D127" s="321"/>
    </row>
    <row r="128" spans="1:4" x14ac:dyDescent="0.3">
      <c r="A128" s="320"/>
      <c r="B128" s="320"/>
      <c r="C128" s="321"/>
      <c r="D128" s="321"/>
    </row>
    <row r="129" spans="1:4" x14ac:dyDescent="0.3">
      <c r="A129" s="320"/>
      <c r="B129" s="320"/>
      <c r="C129" s="321"/>
      <c r="D129" s="321"/>
    </row>
    <row r="130" spans="1:4" x14ac:dyDescent="0.3">
      <c r="A130" s="320"/>
      <c r="B130" s="320"/>
      <c r="C130" s="321"/>
      <c r="D130" s="321"/>
    </row>
    <row r="131" spans="1:4" x14ac:dyDescent="0.3">
      <c r="A131" s="320"/>
      <c r="B131" s="320"/>
      <c r="C131" s="321"/>
      <c r="D131" s="321"/>
    </row>
    <row r="132" spans="1:4" x14ac:dyDescent="0.3">
      <c r="A132" s="320"/>
      <c r="B132" s="320"/>
      <c r="C132" s="321"/>
      <c r="D132" s="321"/>
    </row>
    <row r="133" spans="1:4" x14ac:dyDescent="0.3">
      <c r="A133" s="320"/>
      <c r="B133" s="320"/>
      <c r="C133" s="321"/>
      <c r="D133" s="321"/>
    </row>
    <row r="134" spans="1:4" x14ac:dyDescent="0.3">
      <c r="A134" s="320"/>
      <c r="B134" s="320"/>
      <c r="C134" s="321"/>
      <c r="D134" s="321"/>
    </row>
    <row r="135" spans="1:4" x14ac:dyDescent="0.3">
      <c r="A135" s="320"/>
      <c r="B135" s="320"/>
      <c r="C135" s="321"/>
      <c r="D135" s="321"/>
    </row>
    <row r="136" spans="1:4" x14ac:dyDescent="0.3">
      <c r="A136" s="320"/>
      <c r="B136" s="320"/>
      <c r="C136" s="321"/>
      <c r="D136" s="321"/>
    </row>
    <row r="137" spans="1:4" x14ac:dyDescent="0.3">
      <c r="A137" s="320"/>
      <c r="B137" s="320"/>
      <c r="C137" s="321"/>
      <c r="D137" s="321"/>
    </row>
    <row r="138" spans="1:4" x14ac:dyDescent="0.3">
      <c r="A138" s="320"/>
      <c r="B138" s="320"/>
      <c r="C138" s="321"/>
      <c r="D138" s="321"/>
    </row>
    <row r="139" spans="1:4" x14ac:dyDescent="0.3">
      <c r="A139" s="320"/>
      <c r="B139" s="320"/>
      <c r="C139" s="321"/>
      <c r="D139" s="321"/>
    </row>
    <row r="140" spans="1:4" x14ac:dyDescent="0.3">
      <c r="A140" s="320"/>
      <c r="B140" s="320"/>
      <c r="C140" s="321"/>
      <c r="D140" s="321"/>
    </row>
    <row r="141" spans="1:4" x14ac:dyDescent="0.3">
      <c r="A141" s="320"/>
      <c r="B141" s="320"/>
      <c r="C141" s="321"/>
      <c r="D141" s="321"/>
    </row>
    <row r="142" spans="1:4" x14ac:dyDescent="0.3">
      <c r="A142" s="320"/>
      <c r="B142" s="320"/>
      <c r="C142" s="321"/>
      <c r="D142" s="321"/>
    </row>
    <row r="143" spans="1:4" x14ac:dyDescent="0.3">
      <c r="A143" s="320"/>
      <c r="B143" s="320"/>
      <c r="C143" s="321"/>
      <c r="D143" s="321"/>
    </row>
    <row r="144" spans="1:4" x14ac:dyDescent="0.3">
      <c r="A144" s="320"/>
      <c r="B144" s="320"/>
      <c r="C144" s="321"/>
      <c r="D144" s="321"/>
    </row>
    <row r="145" spans="1:4" x14ac:dyDescent="0.3">
      <c r="A145" s="320"/>
      <c r="B145" s="320"/>
      <c r="C145" s="321"/>
      <c r="D145" s="321"/>
    </row>
    <row r="146" spans="1:4" x14ac:dyDescent="0.3">
      <c r="A146" s="320"/>
      <c r="B146" s="320"/>
      <c r="C146" s="321"/>
      <c r="D146" s="321"/>
    </row>
    <row r="147" spans="1:4" x14ac:dyDescent="0.3">
      <c r="A147" s="320"/>
      <c r="B147" s="320"/>
      <c r="C147" s="321"/>
      <c r="D147" s="321"/>
    </row>
    <row r="148" spans="1:4" x14ac:dyDescent="0.3">
      <c r="A148" s="320"/>
      <c r="B148" s="320"/>
      <c r="C148" s="321"/>
      <c r="D148" s="321"/>
    </row>
    <row r="149" spans="1:4" x14ac:dyDescent="0.3">
      <c r="A149" s="320"/>
      <c r="B149" s="320"/>
      <c r="C149" s="321"/>
      <c r="D149" s="321"/>
    </row>
    <row r="150" spans="1:4" x14ac:dyDescent="0.3">
      <c r="A150" s="320"/>
      <c r="B150" s="320"/>
      <c r="C150" s="321"/>
      <c r="D150" s="321"/>
    </row>
    <row r="151" spans="1:4" x14ac:dyDescent="0.3">
      <c r="A151" s="320"/>
      <c r="B151" s="320"/>
      <c r="C151" s="321"/>
      <c r="D151" s="321"/>
    </row>
    <row r="152" spans="1:4" x14ac:dyDescent="0.3">
      <c r="A152" s="320"/>
      <c r="B152" s="320"/>
      <c r="C152" s="321"/>
      <c r="D152" s="321"/>
    </row>
    <row r="153" spans="1:4" x14ac:dyDescent="0.3">
      <c r="A153" s="320"/>
      <c r="B153" s="320"/>
      <c r="C153" s="321"/>
      <c r="D153" s="321"/>
    </row>
    <row r="154" spans="1:4" x14ac:dyDescent="0.3">
      <c r="A154" s="320"/>
      <c r="B154" s="320"/>
      <c r="C154" s="321"/>
      <c r="D154" s="321"/>
    </row>
    <row r="155" spans="1:4" x14ac:dyDescent="0.3">
      <c r="A155" s="320"/>
      <c r="B155" s="320"/>
      <c r="C155" s="321"/>
      <c r="D155" s="321"/>
    </row>
    <row r="156" spans="1:4" x14ac:dyDescent="0.3">
      <c r="A156" s="320"/>
      <c r="B156" s="320"/>
      <c r="C156" s="321"/>
      <c r="D156" s="321"/>
    </row>
  </sheetData>
  <sheetProtection algorithmName="SHA-512" hashValue="hnhiKkWWId5rsnk7YeI1jkf0WZmkyfQK3KQjsWvrYOLRapGPXxaNibJ2NMPhk3NuKvQ0WkDyGQMhJ1bswYk1Ww==" saltValue="rwtseZEhQ+gQmEbGelhaiQ==" spinCount="100000" sheet="1" objects="1" scenarios="1"/>
  <mergeCells count="2">
    <mergeCell ref="A5:C7"/>
    <mergeCell ref="B1:C1"/>
  </mergeCells>
  <dataValidations count="2">
    <dataValidation type="list" allowBlank="1" showInputMessage="1" sqref="B13:B156" xr:uid="{00000000-0002-0000-0400-000000000000}">
      <formula1>package</formula1>
    </dataValidation>
    <dataValidation type="list" allowBlank="1" showInputMessage="1" showErrorMessage="1" sqref="A13:A156" xr:uid="{00000000-0002-0000-0400-000001000000}">
      <formula1>Route_Order</formula1>
    </dataValidation>
  </dataValidations>
  <pageMargins left="0.46" right="0.44" top="0.56000000000000005" bottom="0.31" header="0.3" footer="0.3"/>
  <pageSetup scale="110" orientation="portrait" r:id="rId1"/>
  <ignoredErrors>
    <ignoredError sqref="C113:D156" listDataValidation="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80"/>
  <sheetViews>
    <sheetView showGridLines="0" zoomScaleNormal="100" workbookViewId="0">
      <pane ySplit="2" topLeftCell="A3" activePane="bottomLeft" state="frozen"/>
      <selection activeCell="O64" sqref="O64"/>
      <selection pane="bottomLeft" activeCell="A28" sqref="A28:C28"/>
    </sheetView>
  </sheetViews>
  <sheetFormatPr defaultRowHeight="14.4" x14ac:dyDescent="0.3"/>
  <cols>
    <col min="1" max="1" width="3" customWidth="1"/>
    <col min="2" max="2" width="25.109375" customWidth="1"/>
    <col min="3" max="3" width="30.33203125" customWidth="1"/>
    <col min="4" max="4" width="18.5546875" customWidth="1"/>
    <col min="5" max="5" width="1.5546875" customWidth="1"/>
    <col min="6" max="6" width="21.44140625" customWidth="1"/>
    <col min="7" max="7" width="10" customWidth="1"/>
    <col min="8" max="9" width="8.6640625" customWidth="1"/>
    <col min="10" max="10" width="11.109375" customWidth="1"/>
    <col min="11" max="11" width="13.33203125" customWidth="1"/>
  </cols>
  <sheetData>
    <row r="1" spans="1:11" ht="21.75" customHeight="1" x14ac:dyDescent="0.3">
      <c r="A1" s="368" t="s">
        <v>372</v>
      </c>
      <c r="B1" s="368"/>
      <c r="C1" s="368"/>
      <c r="D1" s="368"/>
      <c r="E1" s="368"/>
      <c r="F1" s="368"/>
      <c r="G1" s="368"/>
      <c r="H1" s="368"/>
      <c r="I1" s="368"/>
      <c r="J1" s="368"/>
      <c r="K1" s="368"/>
    </row>
    <row r="2" spans="1:11" ht="18.75" customHeight="1" x14ac:dyDescent="0.3">
      <c r="A2" s="369" t="s">
        <v>373</v>
      </c>
      <c r="B2" s="369"/>
      <c r="C2" s="370"/>
      <c r="D2" s="370"/>
      <c r="E2" s="112"/>
      <c r="F2" s="113"/>
      <c r="G2" s="371"/>
      <c r="H2" s="372"/>
      <c r="I2" s="372"/>
      <c r="J2" s="372"/>
      <c r="K2" s="372"/>
    </row>
    <row r="3" spans="1:11" ht="15" customHeight="1" x14ac:dyDescent="0.3">
      <c r="A3" s="373" t="s">
        <v>374</v>
      </c>
      <c r="B3" s="374"/>
      <c r="C3" s="375"/>
      <c r="D3" s="114" t="s">
        <v>375</v>
      </c>
      <c r="E3" s="111"/>
      <c r="F3" s="111"/>
      <c r="G3" s="376"/>
      <c r="H3" s="376"/>
      <c r="I3" s="377"/>
      <c r="J3" s="377"/>
      <c r="K3" s="377"/>
    </row>
    <row r="4" spans="1:11" ht="16.5" customHeight="1" x14ac:dyDescent="0.3">
      <c r="A4" s="378">
        <f>Summary!G10</f>
        <v>0</v>
      </c>
      <c r="B4" s="379"/>
      <c r="C4" s="380"/>
      <c r="D4" s="115" t="str">
        <f>Summary!B10&amp;"/"&amp;Summary!A10</f>
        <v>/</v>
      </c>
      <c r="E4" s="111"/>
      <c r="F4" s="111"/>
      <c r="G4" s="376"/>
      <c r="H4" s="376"/>
      <c r="I4" s="381"/>
      <c r="J4" s="382"/>
      <c r="K4" s="382"/>
    </row>
    <row r="5" spans="1:11" ht="5.25" customHeight="1" x14ac:dyDescent="0.3">
      <c r="A5" s="111"/>
      <c r="B5" s="111"/>
      <c r="C5" s="111"/>
      <c r="D5" s="111"/>
      <c r="E5" s="111"/>
      <c r="F5" s="111"/>
      <c r="G5" s="111"/>
      <c r="H5" s="111"/>
      <c r="I5" s="111"/>
      <c r="J5" s="111"/>
      <c r="K5" s="111"/>
    </row>
    <row r="6" spans="1:11" x14ac:dyDescent="0.3">
      <c r="A6" s="383" t="s">
        <v>376</v>
      </c>
      <c r="B6" s="383"/>
      <c r="C6" s="383"/>
      <c r="D6" s="114" t="s">
        <v>377</v>
      </c>
      <c r="E6" s="111"/>
      <c r="F6" s="116" t="s">
        <v>378</v>
      </c>
      <c r="G6" s="384" t="s">
        <v>379</v>
      </c>
      <c r="H6" s="385"/>
      <c r="I6" s="385"/>
      <c r="J6" s="385"/>
      <c r="K6" s="385"/>
    </row>
    <row r="7" spans="1:11" x14ac:dyDescent="0.3">
      <c r="A7" s="365" t="s">
        <v>380</v>
      </c>
      <c r="B7" s="365"/>
      <c r="C7" s="365"/>
      <c r="D7" s="184"/>
      <c r="E7" s="111"/>
      <c r="F7" s="117"/>
      <c r="G7" s="366" t="s">
        <v>381</v>
      </c>
      <c r="H7" s="367"/>
      <c r="I7" s="367"/>
      <c r="J7" s="367"/>
      <c r="K7" s="118">
        <v>0.8</v>
      </c>
    </row>
    <row r="8" spans="1:11" x14ac:dyDescent="0.3">
      <c r="A8" s="365" t="s">
        <v>382</v>
      </c>
      <c r="B8" s="365"/>
      <c r="C8" s="365"/>
      <c r="D8" s="184"/>
      <c r="E8" s="111"/>
      <c r="F8" s="117"/>
      <c r="G8" s="366" t="s">
        <v>383</v>
      </c>
      <c r="H8" s="367"/>
      <c r="I8" s="367"/>
      <c r="J8" s="367"/>
      <c r="K8" s="119">
        <v>10.54</v>
      </c>
    </row>
    <row r="9" spans="1:11" x14ac:dyDescent="0.3">
      <c r="A9" s="365" t="s">
        <v>384</v>
      </c>
      <c r="B9" s="365"/>
      <c r="C9" s="365"/>
      <c r="D9" s="184"/>
      <c r="E9" s="111"/>
      <c r="F9" s="120"/>
      <c r="G9" s="386" t="s">
        <v>385</v>
      </c>
      <c r="H9" s="387"/>
      <c r="I9" s="387"/>
      <c r="J9" s="387"/>
      <c r="K9" s="121">
        <v>9.89</v>
      </c>
    </row>
    <row r="10" spans="1:11" x14ac:dyDescent="0.3">
      <c r="A10" s="365" t="s">
        <v>386</v>
      </c>
      <c r="B10" s="365"/>
      <c r="C10" s="365"/>
      <c r="D10" s="184"/>
      <c r="E10" s="111"/>
      <c r="F10" s="388" t="s">
        <v>387</v>
      </c>
      <c r="G10" s="389"/>
      <c r="H10" s="389"/>
      <c r="I10" s="389"/>
      <c r="J10" s="389"/>
      <c r="K10" s="390"/>
    </row>
    <row r="11" spans="1:11" ht="12.75" customHeight="1" x14ac:dyDescent="0.3">
      <c r="A11" s="365" t="s">
        <v>388</v>
      </c>
      <c r="B11" s="365"/>
      <c r="C11" s="365"/>
      <c r="D11" s="184"/>
      <c r="E11" s="111"/>
      <c r="F11" s="391"/>
      <c r="G11" s="392"/>
      <c r="H11" s="392"/>
      <c r="I11" s="392"/>
      <c r="J11" s="392"/>
      <c r="K11" s="393"/>
    </row>
    <row r="12" spans="1:11" x14ac:dyDescent="0.3">
      <c r="A12" s="365" t="s">
        <v>389</v>
      </c>
      <c r="B12" s="365"/>
      <c r="C12" s="365"/>
      <c r="D12" s="184"/>
      <c r="E12" s="111"/>
      <c r="F12" s="394" t="s">
        <v>390</v>
      </c>
      <c r="G12" s="395"/>
      <c r="H12" s="395"/>
      <c r="I12" s="395"/>
      <c r="J12" s="395"/>
      <c r="K12" s="396"/>
    </row>
    <row r="13" spans="1:11" x14ac:dyDescent="0.3">
      <c r="A13" s="397" t="s">
        <v>391</v>
      </c>
      <c r="B13" s="397"/>
      <c r="C13" s="398"/>
      <c r="D13" s="185">
        <f>SUM(D7+D8+D9-D10-D11-D12)</f>
        <v>0</v>
      </c>
      <c r="E13" s="111"/>
      <c r="F13" s="111"/>
      <c r="G13" s="111"/>
      <c r="H13" s="111"/>
      <c r="I13" s="111"/>
      <c r="J13" s="111"/>
      <c r="K13" s="111"/>
    </row>
    <row r="14" spans="1:11" ht="6.75" customHeight="1" x14ac:dyDescent="0.3">
      <c r="A14" s="122"/>
      <c r="B14" s="123"/>
      <c r="C14" s="124"/>
      <c r="D14" s="125"/>
      <c r="E14" s="111"/>
      <c r="F14" s="111"/>
      <c r="G14" s="111"/>
      <c r="H14" s="111"/>
      <c r="I14" s="111"/>
      <c r="J14" s="111"/>
      <c r="K14" s="111"/>
    </row>
    <row r="15" spans="1:11" x14ac:dyDescent="0.3">
      <c r="A15" s="373" t="s">
        <v>392</v>
      </c>
      <c r="B15" s="374"/>
      <c r="C15" s="375"/>
      <c r="D15" s="114" t="s">
        <v>377</v>
      </c>
      <c r="E15" s="111"/>
      <c r="F15" s="111"/>
      <c r="G15" s="111"/>
      <c r="H15" s="111"/>
      <c r="I15" s="111"/>
      <c r="J15" s="111"/>
      <c r="K15" s="111"/>
    </row>
    <row r="16" spans="1:11" x14ac:dyDescent="0.3">
      <c r="A16" s="364" t="s">
        <v>393</v>
      </c>
      <c r="B16" s="364"/>
      <c r="C16" s="364"/>
      <c r="D16" s="184"/>
      <c r="E16" s="111"/>
      <c r="F16" s="111"/>
      <c r="G16" s="111"/>
      <c r="H16" s="111"/>
      <c r="I16" s="111"/>
      <c r="J16" s="111"/>
      <c r="K16" s="111"/>
    </row>
    <row r="17" spans="1:4" x14ac:dyDescent="0.3">
      <c r="A17" s="364" t="s">
        <v>394</v>
      </c>
      <c r="B17" s="364"/>
      <c r="C17" s="364"/>
      <c r="D17" s="184"/>
    </row>
    <row r="18" spans="1:4" x14ac:dyDescent="0.3">
      <c r="A18" s="364" t="s">
        <v>395</v>
      </c>
      <c r="B18" s="364"/>
      <c r="C18" s="364"/>
      <c r="D18" s="184"/>
    </row>
    <row r="19" spans="1:4" x14ac:dyDescent="0.3">
      <c r="A19" s="364" t="s">
        <v>396</v>
      </c>
      <c r="B19" s="364"/>
      <c r="C19" s="364"/>
      <c r="D19" s="184"/>
    </row>
    <row r="20" spans="1:4" x14ac:dyDescent="0.3">
      <c r="A20" s="364" t="s">
        <v>397</v>
      </c>
      <c r="B20" s="364"/>
      <c r="C20" s="364"/>
      <c r="D20" s="184"/>
    </row>
    <row r="21" spans="1:4" x14ac:dyDescent="0.3">
      <c r="A21" s="364" t="s">
        <v>398</v>
      </c>
      <c r="B21" s="364"/>
      <c r="C21" s="364"/>
      <c r="D21" s="184"/>
    </row>
    <row r="22" spans="1:4" x14ac:dyDescent="0.3">
      <c r="A22" s="364" t="s">
        <v>399</v>
      </c>
      <c r="B22" s="364"/>
      <c r="C22" s="364"/>
      <c r="D22" s="184"/>
    </row>
    <row r="23" spans="1:4" x14ac:dyDescent="0.3">
      <c r="A23" s="400"/>
      <c r="B23" s="401"/>
      <c r="C23" s="402"/>
      <c r="D23" s="184"/>
    </row>
    <row r="24" spans="1:4" x14ac:dyDescent="0.3">
      <c r="A24" s="400"/>
      <c r="B24" s="401"/>
      <c r="C24" s="402"/>
      <c r="D24" s="184"/>
    </row>
    <row r="25" spans="1:4" x14ac:dyDescent="0.3">
      <c r="A25" s="403" t="s">
        <v>430</v>
      </c>
      <c r="B25" s="403"/>
      <c r="C25" s="403"/>
      <c r="D25" s="186"/>
    </row>
    <row r="26" spans="1:4" x14ac:dyDescent="0.3">
      <c r="A26" s="399" t="s">
        <v>400</v>
      </c>
      <c r="B26" s="399"/>
      <c r="C26" s="399"/>
      <c r="D26" s="184"/>
    </row>
    <row r="27" spans="1:4" x14ac:dyDescent="0.3">
      <c r="A27" s="399" t="s">
        <v>401</v>
      </c>
      <c r="B27" s="399"/>
      <c r="C27" s="399"/>
      <c r="D27" s="184"/>
    </row>
    <row r="28" spans="1:4" x14ac:dyDescent="0.3">
      <c r="A28" s="399" t="s">
        <v>402</v>
      </c>
      <c r="B28" s="399"/>
      <c r="C28" s="399"/>
      <c r="D28" s="184"/>
    </row>
    <row r="29" spans="1:4" x14ac:dyDescent="0.3">
      <c r="A29" s="399" t="s">
        <v>403</v>
      </c>
      <c r="B29" s="399"/>
      <c r="C29" s="399"/>
      <c r="D29" s="184"/>
    </row>
    <row r="30" spans="1:4" x14ac:dyDescent="0.3">
      <c r="A30" s="405" t="s">
        <v>404</v>
      </c>
      <c r="B30" s="399"/>
      <c r="C30" s="399"/>
      <c r="D30" s="184"/>
    </row>
    <row r="31" spans="1:4" x14ac:dyDescent="0.3">
      <c r="A31" s="399" t="s">
        <v>405</v>
      </c>
      <c r="B31" s="399"/>
      <c r="C31" s="399"/>
      <c r="D31" s="184"/>
    </row>
    <row r="32" spans="1:4" x14ac:dyDescent="0.3">
      <c r="A32" s="399" t="s">
        <v>406</v>
      </c>
      <c r="B32" s="399"/>
      <c r="C32" s="399"/>
      <c r="D32" s="184"/>
    </row>
    <row r="33" spans="1:15" x14ac:dyDescent="0.3">
      <c r="A33" s="399" t="s">
        <v>407</v>
      </c>
      <c r="B33" s="399"/>
      <c r="C33" s="399"/>
      <c r="D33" s="184"/>
      <c r="E33" s="111"/>
      <c r="F33" s="111"/>
      <c r="G33" s="111"/>
      <c r="H33" s="111"/>
      <c r="I33" s="111"/>
      <c r="J33" s="111"/>
      <c r="K33" s="111"/>
      <c r="L33" s="111"/>
      <c r="M33" s="111"/>
      <c r="N33" s="111"/>
      <c r="O33" s="111"/>
    </row>
    <row r="34" spans="1:15" x14ac:dyDescent="0.3">
      <c r="A34" s="399"/>
      <c r="B34" s="399"/>
      <c r="C34" s="399"/>
      <c r="D34" s="184"/>
      <c r="E34" s="111"/>
      <c r="F34" s="111"/>
      <c r="G34" s="111"/>
      <c r="H34" s="111"/>
      <c r="I34" s="111"/>
      <c r="J34" s="111"/>
      <c r="K34" s="111"/>
      <c r="L34" s="111"/>
      <c r="M34" s="111"/>
      <c r="N34" s="111"/>
      <c r="O34" s="111"/>
    </row>
    <row r="35" spans="1:15" x14ac:dyDescent="0.3">
      <c r="A35" s="399"/>
      <c r="B35" s="399"/>
      <c r="C35" s="399"/>
      <c r="D35" s="184"/>
      <c r="E35" s="111"/>
      <c r="F35" s="111"/>
      <c r="G35" s="111"/>
      <c r="H35" s="111"/>
      <c r="I35" s="111"/>
      <c r="J35" s="111"/>
      <c r="K35" s="111"/>
      <c r="L35" s="111"/>
      <c r="M35" s="111"/>
      <c r="N35" s="111"/>
      <c r="O35" s="111"/>
    </row>
    <row r="36" spans="1:15" s="11" customFormat="1" x14ac:dyDescent="0.3">
      <c r="A36" s="314" t="s">
        <v>484</v>
      </c>
      <c r="B36" s="314"/>
      <c r="C36" s="311"/>
      <c r="D36" s="312"/>
      <c r="E36" s="313"/>
      <c r="F36" s="313"/>
      <c r="G36" s="313"/>
      <c r="H36" s="313"/>
      <c r="I36" s="313"/>
      <c r="J36" s="313"/>
      <c r="K36" s="313"/>
      <c r="L36" s="313"/>
      <c r="M36" s="313"/>
      <c r="N36" s="313"/>
      <c r="O36" s="313"/>
    </row>
    <row r="37" spans="1:15" s="11" customFormat="1" x14ac:dyDescent="0.3">
      <c r="A37" s="406" t="s">
        <v>481</v>
      </c>
      <c r="B37" s="406"/>
      <c r="C37" s="406"/>
      <c r="D37" s="184"/>
      <c r="E37" s="313"/>
      <c r="F37" s="313"/>
      <c r="G37" s="313"/>
      <c r="H37" s="313"/>
      <c r="I37" s="313"/>
      <c r="J37" s="313"/>
      <c r="K37" s="313"/>
      <c r="L37" s="313"/>
      <c r="M37" s="313"/>
      <c r="N37" s="313"/>
      <c r="O37" s="313"/>
    </row>
    <row r="38" spans="1:15" s="11" customFormat="1" x14ac:dyDescent="0.3">
      <c r="A38" s="406" t="s">
        <v>482</v>
      </c>
      <c r="B38" s="406"/>
      <c r="C38" s="406"/>
      <c r="D38" s="184"/>
      <c r="E38" s="313"/>
      <c r="F38" s="313"/>
      <c r="G38" s="313"/>
      <c r="H38" s="313"/>
      <c r="I38" s="313"/>
      <c r="J38" s="313"/>
      <c r="K38" s="313"/>
      <c r="L38" s="313"/>
      <c r="M38" s="313"/>
      <c r="N38" s="313"/>
      <c r="O38" s="313"/>
    </row>
    <row r="39" spans="1:15" s="11" customFormat="1" x14ac:dyDescent="0.3">
      <c r="A39" s="399"/>
      <c r="B39" s="399"/>
      <c r="C39" s="399"/>
      <c r="D39" s="184"/>
      <c r="E39" s="313"/>
      <c r="F39" s="313"/>
      <c r="G39" s="313"/>
      <c r="H39" s="313"/>
      <c r="I39" s="313"/>
      <c r="J39" s="313"/>
      <c r="K39" s="313"/>
      <c r="L39" s="313"/>
      <c r="M39" s="313"/>
      <c r="N39" s="313"/>
      <c r="O39" s="313"/>
    </row>
    <row r="40" spans="1:15" s="299" customFormat="1" x14ac:dyDescent="0.3">
      <c r="A40" s="399"/>
      <c r="B40" s="399"/>
      <c r="C40" s="399"/>
      <c r="D40" s="184"/>
      <c r="E40" s="111"/>
      <c r="F40" s="111"/>
      <c r="G40" s="111"/>
      <c r="H40" s="111"/>
      <c r="I40" s="111"/>
      <c r="J40" s="111"/>
      <c r="K40" s="111"/>
      <c r="L40" s="111"/>
      <c r="M40" s="111"/>
      <c r="N40" s="111"/>
      <c r="O40" s="111"/>
    </row>
    <row r="41" spans="1:15" x14ac:dyDescent="0.3">
      <c r="A41" s="374" t="s">
        <v>408</v>
      </c>
      <c r="B41" s="374"/>
      <c r="C41" s="374"/>
      <c r="D41" s="186"/>
      <c r="E41" s="111"/>
      <c r="F41" s="111"/>
      <c r="G41" s="111"/>
      <c r="H41" s="111"/>
      <c r="I41" s="111"/>
      <c r="J41" s="111"/>
      <c r="K41" s="111"/>
      <c r="L41" s="111"/>
      <c r="M41" s="111"/>
      <c r="N41" s="111"/>
      <c r="O41" s="111"/>
    </row>
    <row r="42" spans="1:15" x14ac:dyDescent="0.3">
      <c r="A42" s="404" t="s">
        <v>409</v>
      </c>
      <c r="B42" s="404"/>
      <c r="C42" s="404"/>
      <c r="D42" s="187"/>
      <c r="E42" s="111"/>
      <c r="F42" s="111"/>
      <c r="G42" s="111"/>
      <c r="H42" s="111"/>
      <c r="I42" s="111"/>
      <c r="J42" s="111"/>
      <c r="K42" s="111"/>
      <c r="L42" s="111"/>
      <c r="M42" s="111"/>
      <c r="N42" s="111"/>
      <c r="O42" s="111"/>
    </row>
    <row r="43" spans="1:15" x14ac:dyDescent="0.3">
      <c r="A43" s="404"/>
      <c r="B43" s="404"/>
      <c r="C43" s="404"/>
      <c r="D43" s="187"/>
      <c r="E43" s="111"/>
      <c r="F43" s="111"/>
      <c r="G43" s="111"/>
      <c r="H43" s="111"/>
      <c r="I43" s="111"/>
      <c r="J43" s="111"/>
      <c r="K43" s="111"/>
      <c r="L43" s="111"/>
      <c r="M43" s="111"/>
      <c r="N43" s="111"/>
      <c r="O43" s="111"/>
    </row>
    <row r="44" spans="1:15" x14ac:dyDescent="0.3">
      <c r="A44" s="410" t="s">
        <v>410</v>
      </c>
      <c r="B44" s="410"/>
      <c r="C44" s="410"/>
      <c r="D44" s="188">
        <f>SUM(D16:D43)</f>
        <v>0</v>
      </c>
      <c r="E44" s="111"/>
      <c r="F44" s="111"/>
      <c r="G44" s="111"/>
      <c r="H44" s="111"/>
      <c r="I44" s="111"/>
      <c r="J44" s="111"/>
      <c r="K44" s="111"/>
      <c r="L44" s="111"/>
      <c r="M44" s="111"/>
      <c r="N44" s="111"/>
      <c r="O44" s="111"/>
    </row>
    <row r="45" spans="1:15" x14ac:dyDescent="0.3">
      <c r="A45" s="410" t="s">
        <v>411</v>
      </c>
      <c r="B45" s="410"/>
      <c r="C45" s="410"/>
      <c r="D45" s="188">
        <f>D13-D44</f>
        <v>0</v>
      </c>
      <c r="E45" s="111"/>
      <c r="F45" s="111"/>
      <c r="G45" s="111"/>
      <c r="H45" s="111"/>
      <c r="I45" s="111"/>
      <c r="J45" s="111"/>
      <c r="K45" s="111"/>
      <c r="L45" s="111"/>
      <c r="M45" s="111"/>
      <c r="N45" s="111"/>
      <c r="O45" s="111"/>
    </row>
    <row r="46" spans="1:15" ht="15" thickBot="1" x14ac:dyDescent="0.35">
      <c r="A46" s="126"/>
      <c r="B46" s="126"/>
      <c r="C46" s="126"/>
      <c r="D46" s="127"/>
      <c r="E46" s="111"/>
      <c r="F46" s="111"/>
      <c r="G46" s="111"/>
      <c r="H46" s="111"/>
      <c r="I46" s="111"/>
      <c r="J46" s="111"/>
      <c r="K46" s="111"/>
      <c r="L46" s="111"/>
      <c r="M46" s="111"/>
      <c r="N46" s="111"/>
      <c r="O46" s="111"/>
    </row>
    <row r="47" spans="1:15" ht="16.8" thickTop="1" thickBot="1" x14ac:dyDescent="0.35">
      <c r="A47" s="411" t="s">
        <v>478</v>
      </c>
      <c r="B47" s="412"/>
      <c r="C47" s="412"/>
      <c r="D47" s="412"/>
      <c r="E47" s="412"/>
      <c r="F47" s="412"/>
      <c r="G47" s="412"/>
      <c r="H47" s="412"/>
      <c r="I47" s="412"/>
      <c r="J47" s="412"/>
      <c r="K47" s="413"/>
      <c r="L47" s="111"/>
      <c r="M47" s="111"/>
      <c r="N47" s="111"/>
      <c r="O47" s="111"/>
    </row>
    <row r="48" spans="1:15" ht="12.75" customHeight="1" thickTop="1" x14ac:dyDescent="0.3">
      <c r="A48" s="414" t="s">
        <v>412</v>
      </c>
      <c r="B48" s="415"/>
      <c r="C48" s="415"/>
      <c r="D48" s="128" t="s">
        <v>413</v>
      </c>
      <c r="E48" s="113"/>
      <c r="F48" s="416" t="s">
        <v>455</v>
      </c>
      <c r="G48" s="417"/>
      <c r="H48" s="417"/>
      <c r="I48" s="417"/>
      <c r="J48" s="417"/>
      <c r="K48" s="418"/>
      <c r="L48" s="129"/>
      <c r="M48" s="129"/>
      <c r="N48" s="129"/>
      <c r="O48" s="129"/>
    </row>
    <row r="49" spans="1:15" x14ac:dyDescent="0.3">
      <c r="A49" s="419" t="s">
        <v>414</v>
      </c>
      <c r="B49" s="420"/>
      <c r="C49" s="421"/>
      <c r="D49" s="185">
        <f>IF(SUM(D26:D35)=0,0,IF(D13&lt;0,0,SUM(D26:D35)))</f>
        <v>0</v>
      </c>
      <c r="E49" s="130"/>
      <c r="F49" s="131" t="s">
        <v>116</v>
      </c>
      <c r="G49" s="131" t="s">
        <v>415</v>
      </c>
      <c r="H49" s="131" t="s">
        <v>416</v>
      </c>
      <c r="I49" s="131" t="s">
        <v>417</v>
      </c>
      <c r="J49" s="132" t="s">
        <v>339</v>
      </c>
      <c r="K49" s="133" t="s">
        <v>418</v>
      </c>
      <c r="L49" s="134"/>
      <c r="M49" s="134"/>
      <c r="N49" s="134"/>
      <c r="O49" s="134"/>
    </row>
    <row r="50" spans="1:15" x14ac:dyDescent="0.3">
      <c r="A50" s="422" t="s">
        <v>383</v>
      </c>
      <c r="B50" s="365"/>
      <c r="C50" s="365"/>
      <c r="D50" s="189">
        <f>IF(D49="","",IF(F8="",K8,F8))</f>
        <v>10.54</v>
      </c>
      <c r="E50" s="113"/>
      <c r="F50" s="135" t="s">
        <v>419</v>
      </c>
      <c r="G50" s="135" t="s">
        <v>420</v>
      </c>
      <c r="H50" s="135" t="s">
        <v>421</v>
      </c>
      <c r="I50" s="197">
        <v>2</v>
      </c>
      <c r="J50" s="198">
        <f>IF(D49=0,0,SUM(D49*D50))</f>
        <v>0</v>
      </c>
      <c r="K50" s="199">
        <f>ROUND(IF(D49=0,0,IF(F7="",(K7*D49/100),F7*D49/100)),0)</f>
        <v>0</v>
      </c>
      <c r="L50" s="134"/>
      <c r="M50" s="134"/>
      <c r="N50" s="134"/>
      <c r="O50" s="134"/>
    </row>
    <row r="51" spans="1:15" ht="5.25" customHeight="1" thickBot="1" x14ac:dyDescent="0.35">
      <c r="A51" s="423"/>
      <c r="B51" s="424"/>
      <c r="C51" s="424"/>
      <c r="D51" s="195"/>
      <c r="E51" s="136"/>
      <c r="F51" s="136"/>
      <c r="G51" s="136"/>
      <c r="H51" s="136"/>
      <c r="I51" s="137"/>
      <c r="J51" s="136"/>
      <c r="K51" s="138"/>
      <c r="L51" s="139"/>
      <c r="M51" s="140"/>
      <c r="N51" s="140"/>
      <c r="O51" s="140"/>
    </row>
    <row r="52" spans="1:15" s="299" customFormat="1" ht="15" customHeight="1" thickTop="1" x14ac:dyDescent="0.3">
      <c r="A52" s="414" t="s">
        <v>412</v>
      </c>
      <c r="B52" s="415"/>
      <c r="C52" s="415"/>
      <c r="D52" s="128" t="s">
        <v>413</v>
      </c>
      <c r="E52" s="113"/>
      <c r="F52" s="416" t="s">
        <v>483</v>
      </c>
      <c r="G52" s="417"/>
      <c r="H52" s="417"/>
      <c r="I52" s="417"/>
      <c r="J52" s="417"/>
      <c r="K52" s="418"/>
      <c r="L52" s="139"/>
      <c r="M52" s="140"/>
      <c r="N52" s="140"/>
      <c r="O52" s="140"/>
    </row>
    <row r="53" spans="1:15" s="299" customFormat="1" ht="15" customHeight="1" x14ac:dyDescent="0.3">
      <c r="A53" s="419" t="s">
        <v>485</v>
      </c>
      <c r="B53" s="420"/>
      <c r="C53" s="421"/>
      <c r="D53" s="185">
        <f>IF(SUM(D37:D40)=0,0,IF(D13&lt;0,0,SUM(D37:D40)))</f>
        <v>0</v>
      </c>
      <c r="E53" s="130"/>
      <c r="F53" s="131" t="s">
        <v>116</v>
      </c>
      <c r="G53" s="131" t="s">
        <v>415</v>
      </c>
      <c r="H53" s="131" t="s">
        <v>416</v>
      </c>
      <c r="I53" s="131" t="s">
        <v>417</v>
      </c>
      <c r="J53" s="132" t="s">
        <v>339</v>
      </c>
      <c r="K53" s="133" t="s">
        <v>418</v>
      </c>
      <c r="L53" s="139"/>
      <c r="M53" s="140"/>
      <c r="N53" s="140"/>
      <c r="O53" s="140"/>
    </row>
    <row r="54" spans="1:15" s="299" customFormat="1" ht="15" customHeight="1" x14ac:dyDescent="0.3">
      <c r="A54" s="422" t="s">
        <v>383</v>
      </c>
      <c r="B54" s="365"/>
      <c r="C54" s="365"/>
      <c r="D54" s="189">
        <f>IF(D49="","",IF(F8="",K8,F8))</f>
        <v>10.54</v>
      </c>
      <c r="E54" s="113"/>
      <c r="F54" s="135" t="s">
        <v>419</v>
      </c>
      <c r="G54" s="135" t="s">
        <v>420</v>
      </c>
      <c r="H54" s="135" t="s">
        <v>421</v>
      </c>
      <c r="I54" s="197">
        <v>3</v>
      </c>
      <c r="J54" s="198">
        <f>IF(D53=0,0,SUM(D53*D54))</f>
        <v>0</v>
      </c>
      <c r="K54" s="199">
        <f>ROUND(IF(D49=0,0,IF(F7="",(K7*D49/100),F7*D49/100)),0)</f>
        <v>0</v>
      </c>
      <c r="L54" s="139"/>
      <c r="M54" s="140"/>
      <c r="N54" s="140"/>
      <c r="O54" s="140"/>
    </row>
    <row r="55" spans="1:15" s="299" customFormat="1" ht="5.25" customHeight="1" x14ac:dyDescent="0.3">
      <c r="A55" s="310"/>
      <c r="B55" s="309"/>
      <c r="C55" s="309"/>
      <c r="D55" s="190"/>
      <c r="E55" s="136"/>
      <c r="F55" s="136"/>
      <c r="G55" s="136"/>
      <c r="H55" s="136"/>
      <c r="I55" s="137"/>
      <c r="J55" s="136"/>
      <c r="K55" s="138"/>
      <c r="L55" s="139"/>
      <c r="M55" s="140"/>
      <c r="N55" s="140"/>
      <c r="O55" s="140"/>
    </row>
    <row r="56" spans="1:15" x14ac:dyDescent="0.3">
      <c r="A56" s="422" t="s">
        <v>422</v>
      </c>
      <c r="B56" s="425"/>
      <c r="C56" s="365"/>
      <c r="D56" s="191">
        <f>SUM(D16:D24)</f>
        <v>0</v>
      </c>
      <c r="E56" s="113"/>
      <c r="F56" s="113"/>
      <c r="G56" s="113"/>
      <c r="H56" s="113"/>
      <c r="I56" s="141"/>
      <c r="J56" s="113"/>
      <c r="K56" s="142"/>
      <c r="L56" s="140"/>
      <c r="M56" s="140"/>
      <c r="N56" s="140"/>
      <c r="O56" s="140"/>
    </row>
    <row r="57" spans="1:15" x14ac:dyDescent="0.3">
      <c r="A57" s="422" t="s">
        <v>423</v>
      </c>
      <c r="B57" s="425"/>
      <c r="C57" s="365"/>
      <c r="D57" s="192">
        <f>SUM(D42:D43)</f>
        <v>0</v>
      </c>
      <c r="E57" s="113"/>
      <c r="F57" s="113"/>
      <c r="G57" s="113"/>
      <c r="H57" s="113"/>
      <c r="I57" s="141"/>
      <c r="J57" s="113"/>
      <c r="K57" s="142"/>
      <c r="L57" s="140"/>
      <c r="M57" s="140"/>
      <c r="N57" s="140"/>
      <c r="O57" s="140"/>
    </row>
    <row r="58" spans="1:15" ht="12.75" customHeight="1" x14ac:dyDescent="0.3">
      <c r="A58" s="422" t="s">
        <v>424</v>
      </c>
      <c r="B58" s="425"/>
      <c r="C58" s="365"/>
      <c r="D58" s="192">
        <f>D45</f>
        <v>0</v>
      </c>
      <c r="E58" s="113"/>
      <c r="F58" s="407" t="s">
        <v>456</v>
      </c>
      <c r="G58" s="408"/>
      <c r="H58" s="408"/>
      <c r="I58" s="408"/>
      <c r="J58" s="408"/>
      <c r="K58" s="409"/>
      <c r="L58" s="129"/>
      <c r="M58" s="129"/>
      <c r="N58" s="129"/>
      <c r="O58" s="129"/>
    </row>
    <row r="59" spans="1:15" x14ac:dyDescent="0.3">
      <c r="A59" s="143"/>
      <c r="B59" s="144" t="s">
        <v>425</v>
      </c>
      <c r="C59" s="113"/>
      <c r="D59" s="185">
        <f>IF(SUM(D56:D58)&lt;0,0,SUM(D56:D58))</f>
        <v>0</v>
      </c>
      <c r="E59" s="113"/>
      <c r="F59" s="131" t="s">
        <v>116</v>
      </c>
      <c r="G59" s="131" t="s">
        <v>415</v>
      </c>
      <c r="H59" s="131" t="s">
        <v>416</v>
      </c>
      <c r="I59" s="131" t="s">
        <v>417</v>
      </c>
      <c r="J59" s="132" t="s">
        <v>339</v>
      </c>
      <c r="K59" s="133" t="s">
        <v>418</v>
      </c>
      <c r="L59" s="134"/>
      <c r="M59" s="134"/>
      <c r="N59" s="134"/>
      <c r="O59" s="134"/>
    </row>
    <row r="60" spans="1:15" ht="15" thickBot="1" x14ac:dyDescent="0.35">
      <c r="A60" s="428" t="s">
        <v>383</v>
      </c>
      <c r="B60" s="429"/>
      <c r="C60" s="429"/>
      <c r="D60" s="193">
        <f>IF(D49="","",IF(F8="",K8,F8))</f>
        <v>10.54</v>
      </c>
      <c r="E60" s="146"/>
      <c r="F60" s="147" t="s">
        <v>419</v>
      </c>
      <c r="G60" s="147" t="s">
        <v>420</v>
      </c>
      <c r="H60" s="147" t="s">
        <v>421</v>
      </c>
      <c r="I60" s="200">
        <v>4</v>
      </c>
      <c r="J60" s="201">
        <f>IF(D59=0,0,SUM(D59*D60))</f>
        <v>0</v>
      </c>
      <c r="K60" s="202">
        <f>ROUND(IF(D59=0,0,IF(F7="",(K7*D59/100),F7*D59/100)),0)</f>
        <v>0</v>
      </c>
      <c r="L60" s="134"/>
      <c r="M60" s="134"/>
      <c r="N60" s="134"/>
      <c r="O60" s="134"/>
    </row>
    <row r="61" spans="1:15" ht="15.6" thickTop="1" thickBot="1" x14ac:dyDescent="0.35">
      <c r="A61" s="430"/>
      <c r="B61" s="430"/>
      <c r="C61" s="430"/>
      <c r="D61" s="113"/>
      <c r="E61" s="113"/>
      <c r="F61" s="113"/>
      <c r="G61" s="151"/>
      <c r="H61" s="152"/>
      <c r="I61" s="140"/>
      <c r="J61" s="140"/>
      <c r="K61" s="140"/>
      <c r="L61" s="111"/>
      <c r="M61" s="111"/>
      <c r="N61" s="111"/>
      <c r="O61" s="111"/>
    </row>
    <row r="62" spans="1:15" ht="16.8" thickTop="1" thickBot="1" x14ac:dyDescent="0.35">
      <c r="A62" s="431" t="s">
        <v>477</v>
      </c>
      <c r="B62" s="432"/>
      <c r="C62" s="432"/>
      <c r="D62" s="432"/>
      <c r="E62" s="432"/>
      <c r="F62" s="432"/>
      <c r="G62" s="432"/>
      <c r="H62" s="432"/>
      <c r="I62" s="432"/>
      <c r="J62" s="432"/>
      <c r="K62" s="433"/>
      <c r="L62" s="111"/>
      <c r="M62" s="111"/>
      <c r="N62" s="111"/>
      <c r="O62" s="111"/>
    </row>
    <row r="63" spans="1:15" ht="17.25" customHeight="1" thickTop="1" x14ac:dyDescent="0.3">
      <c r="A63" s="153"/>
      <c r="B63" s="113"/>
      <c r="C63" s="113"/>
      <c r="D63" s="113"/>
      <c r="E63" s="152"/>
      <c r="F63" s="152"/>
      <c r="G63" s="152"/>
      <c r="H63" s="152"/>
      <c r="I63" s="154"/>
      <c r="J63" s="154"/>
      <c r="K63" s="155"/>
      <c r="L63" s="111"/>
      <c r="M63" s="111"/>
      <c r="N63" s="111"/>
      <c r="O63" s="111"/>
    </row>
    <row r="64" spans="1:15" ht="12.75" customHeight="1" x14ac:dyDescent="0.3">
      <c r="A64" s="153"/>
      <c r="B64" s="113"/>
      <c r="C64" s="113"/>
      <c r="D64" s="113"/>
      <c r="E64" s="152"/>
      <c r="F64" s="407" t="s">
        <v>457</v>
      </c>
      <c r="G64" s="408"/>
      <c r="H64" s="408"/>
      <c r="I64" s="408"/>
      <c r="J64" s="408"/>
      <c r="K64" s="409"/>
      <c r="L64" s="129"/>
      <c r="M64" s="129"/>
      <c r="N64" s="129"/>
      <c r="O64" s="129"/>
    </row>
    <row r="65" spans="1:15" x14ac:dyDescent="0.3">
      <c r="A65" s="434" t="s">
        <v>426</v>
      </c>
      <c r="B65" s="374"/>
      <c r="C65" s="375"/>
      <c r="D65" s="192">
        <f>SUM(D16:D24)</f>
        <v>0</v>
      </c>
      <c r="E65" s="152"/>
      <c r="F65" s="131" t="s">
        <v>116</v>
      </c>
      <c r="G65" s="131" t="s">
        <v>415</v>
      </c>
      <c r="H65" s="131" t="s">
        <v>416</v>
      </c>
      <c r="I65" s="131" t="s">
        <v>417</v>
      </c>
      <c r="J65" s="132" t="s">
        <v>339</v>
      </c>
      <c r="K65" s="133" t="s">
        <v>431</v>
      </c>
      <c r="L65" s="134"/>
      <c r="M65" s="134"/>
      <c r="N65" s="134"/>
      <c r="O65" s="134"/>
    </row>
    <row r="66" spans="1:15" x14ac:dyDescent="0.3">
      <c r="A66" s="435" t="s">
        <v>427</v>
      </c>
      <c r="B66" s="436"/>
      <c r="C66" s="436"/>
      <c r="D66" s="189">
        <f>IF(D49="","",IF(F9="",K9,F9))</f>
        <v>9.89</v>
      </c>
      <c r="E66" s="154"/>
      <c r="F66" s="135" t="s">
        <v>419</v>
      </c>
      <c r="G66" s="135" t="s">
        <v>420</v>
      </c>
      <c r="H66" s="135" t="s">
        <v>421</v>
      </c>
      <c r="I66" s="203">
        <v>4</v>
      </c>
      <c r="J66" s="198">
        <f>IF(D65=0,0,SUM(D65*D66))</f>
        <v>0</v>
      </c>
      <c r="K66" s="204">
        <v>0</v>
      </c>
      <c r="L66" s="134"/>
      <c r="M66" s="134"/>
      <c r="N66" s="134"/>
      <c r="O66" s="134"/>
    </row>
    <row r="67" spans="1:15" ht="20.25" customHeight="1" x14ac:dyDescent="0.3">
      <c r="A67" s="156"/>
      <c r="B67" s="157"/>
      <c r="C67" s="113"/>
      <c r="D67" s="194"/>
      <c r="E67" s="158"/>
      <c r="F67" s="437" t="s">
        <v>338</v>
      </c>
      <c r="G67" s="437"/>
      <c r="H67" s="437"/>
      <c r="I67" s="437"/>
      <c r="J67" s="437"/>
      <c r="K67" s="438"/>
      <c r="L67" s="154"/>
      <c r="M67" s="140"/>
      <c r="N67" s="140"/>
      <c r="O67" s="140"/>
    </row>
    <row r="68" spans="1:15" ht="12.75" customHeight="1" x14ac:dyDescent="0.3">
      <c r="A68" s="153"/>
      <c r="B68" s="113"/>
      <c r="C68" s="113"/>
      <c r="D68" s="195"/>
      <c r="E68" s="113"/>
      <c r="F68" s="407" t="s">
        <v>458</v>
      </c>
      <c r="G68" s="408"/>
      <c r="H68" s="408"/>
      <c r="I68" s="408"/>
      <c r="J68" s="408"/>
      <c r="K68" s="409"/>
      <c r="L68" s="129"/>
      <c r="M68" s="129"/>
      <c r="N68" s="129"/>
      <c r="O68" s="129"/>
    </row>
    <row r="69" spans="1:15" x14ac:dyDescent="0.3">
      <c r="A69" s="441" t="s">
        <v>428</v>
      </c>
      <c r="B69" s="442"/>
      <c r="C69" s="443"/>
      <c r="D69" s="196">
        <f>SUM(D26:D35)</f>
        <v>0</v>
      </c>
      <c r="E69" s="113"/>
      <c r="F69" s="131" t="s">
        <v>116</v>
      </c>
      <c r="G69" s="131" t="s">
        <v>415</v>
      </c>
      <c r="H69" s="131" t="s">
        <v>416</v>
      </c>
      <c r="I69" s="131" t="s">
        <v>417</v>
      </c>
      <c r="J69" s="132" t="s">
        <v>339</v>
      </c>
      <c r="K69" s="133" t="s">
        <v>418</v>
      </c>
      <c r="L69" s="134"/>
      <c r="M69" s="134"/>
      <c r="N69" s="134"/>
      <c r="O69" s="134"/>
    </row>
    <row r="70" spans="1:15" x14ac:dyDescent="0.3">
      <c r="A70" s="435" t="s">
        <v>383</v>
      </c>
      <c r="B70" s="436"/>
      <c r="C70" s="436"/>
      <c r="D70" s="189">
        <f>IF(D49="","",IF(F8="",K8,F8))</f>
        <v>10.54</v>
      </c>
      <c r="E70" s="159"/>
      <c r="F70" s="135" t="s">
        <v>419</v>
      </c>
      <c r="G70" s="135" t="s">
        <v>420</v>
      </c>
      <c r="H70" s="135" t="s">
        <v>421</v>
      </c>
      <c r="I70" s="203">
        <v>2</v>
      </c>
      <c r="J70" s="198">
        <f>IF(D69=0,0,SUM(D69*D70))</f>
        <v>0</v>
      </c>
      <c r="K70" s="199">
        <f>ROUND(IF(D69=0,0,IF(F7="",(K7*D69/100),F7*D69/100)),0)</f>
        <v>0</v>
      </c>
      <c r="L70" s="134"/>
      <c r="M70" s="134"/>
      <c r="N70" s="134"/>
      <c r="O70" s="134"/>
    </row>
    <row r="71" spans="1:15" s="299" customFormat="1" x14ac:dyDescent="0.3">
      <c r="A71" s="300"/>
      <c r="B71" s="301"/>
      <c r="C71" s="302"/>
      <c r="D71" s="303"/>
      <c r="E71" s="304"/>
      <c r="F71" s="305"/>
      <c r="G71" s="305"/>
      <c r="H71" s="305"/>
      <c r="I71" s="306"/>
      <c r="J71" s="307"/>
      <c r="K71" s="308"/>
      <c r="L71" s="134"/>
      <c r="M71" s="134"/>
      <c r="N71" s="134"/>
      <c r="O71" s="134"/>
    </row>
    <row r="72" spans="1:15" s="299" customFormat="1" x14ac:dyDescent="0.3">
      <c r="A72" s="153"/>
      <c r="B72" s="113"/>
      <c r="C72" s="113"/>
      <c r="D72" s="195"/>
      <c r="E72" s="113"/>
      <c r="F72" s="407" t="s">
        <v>480</v>
      </c>
      <c r="G72" s="408"/>
      <c r="H72" s="408"/>
      <c r="I72" s="408"/>
      <c r="J72" s="408"/>
      <c r="K72" s="409"/>
      <c r="L72" s="134"/>
      <c r="M72" s="134"/>
      <c r="N72" s="134"/>
      <c r="O72" s="134"/>
    </row>
    <row r="73" spans="1:15" x14ac:dyDescent="0.3">
      <c r="A73" s="439" t="s">
        <v>486</v>
      </c>
      <c r="B73" s="440"/>
      <c r="C73" s="440"/>
      <c r="D73" s="196">
        <f>SUM(D37:D40)</f>
        <v>0</v>
      </c>
      <c r="E73" s="113"/>
      <c r="F73" s="131" t="s">
        <v>116</v>
      </c>
      <c r="G73" s="131" t="s">
        <v>415</v>
      </c>
      <c r="H73" s="131" t="s">
        <v>416</v>
      </c>
      <c r="I73" s="131" t="s">
        <v>417</v>
      </c>
      <c r="J73" s="132" t="s">
        <v>339</v>
      </c>
      <c r="K73" s="133" t="s">
        <v>418</v>
      </c>
      <c r="L73" s="158"/>
      <c r="M73" s="160"/>
      <c r="N73" s="158"/>
      <c r="O73" s="158"/>
    </row>
    <row r="74" spans="1:15" ht="12.75" customHeight="1" x14ac:dyDescent="0.3">
      <c r="A74" s="435" t="s">
        <v>383</v>
      </c>
      <c r="B74" s="436"/>
      <c r="C74" s="436"/>
      <c r="D74" s="189">
        <f>IF(D49="","",IF(F8="",K8,F8))</f>
        <v>10.54</v>
      </c>
      <c r="E74" s="159"/>
      <c r="F74" s="135" t="s">
        <v>419</v>
      </c>
      <c r="G74" s="135" t="s">
        <v>420</v>
      </c>
      <c r="H74" s="135" t="s">
        <v>421</v>
      </c>
      <c r="I74" s="203">
        <v>3</v>
      </c>
      <c r="J74" s="198">
        <f>IF(D73=0,0,SUM(D73*D74))</f>
        <v>0</v>
      </c>
      <c r="K74" s="199">
        <f>IF(D77=0,0,IF(F7="",(K7*D77/100),F7*D77/100))</f>
        <v>0</v>
      </c>
      <c r="L74" s="129"/>
      <c r="M74" s="129"/>
      <c r="N74" s="129"/>
      <c r="O74" s="129"/>
    </row>
    <row r="75" spans="1:15" s="299" customFormat="1" ht="12.75" customHeight="1" x14ac:dyDescent="0.3">
      <c r="A75" s="315"/>
      <c r="B75" s="302"/>
      <c r="C75" s="302"/>
      <c r="D75" s="303"/>
      <c r="E75" s="304"/>
      <c r="F75" s="305"/>
      <c r="G75" s="305"/>
      <c r="H75" s="305"/>
      <c r="I75" s="306"/>
      <c r="J75" s="307"/>
      <c r="K75" s="308"/>
      <c r="L75" s="129"/>
      <c r="M75" s="129"/>
      <c r="N75" s="129"/>
      <c r="O75" s="129"/>
    </row>
    <row r="76" spans="1:15" s="299" customFormat="1" ht="12.75" customHeight="1" x14ac:dyDescent="0.3">
      <c r="A76" s="315"/>
      <c r="B76" s="302"/>
      <c r="C76" s="302"/>
      <c r="D76" s="303"/>
      <c r="E76" s="304"/>
      <c r="F76" s="407" t="s">
        <v>487</v>
      </c>
      <c r="G76" s="408"/>
      <c r="H76" s="408"/>
      <c r="I76" s="408"/>
      <c r="J76" s="408"/>
      <c r="K76" s="409"/>
      <c r="L76" s="129"/>
      <c r="M76" s="129"/>
      <c r="N76" s="129"/>
      <c r="O76" s="129"/>
    </row>
    <row r="77" spans="1:15" x14ac:dyDescent="0.3">
      <c r="A77" s="439" t="s">
        <v>429</v>
      </c>
      <c r="B77" s="440"/>
      <c r="C77" s="440"/>
      <c r="D77" s="125">
        <f>SUM(D42:D43)</f>
        <v>0</v>
      </c>
      <c r="E77" s="113"/>
      <c r="F77" s="316" t="s">
        <v>116</v>
      </c>
      <c r="G77" s="316" t="s">
        <v>415</v>
      </c>
      <c r="H77" s="316" t="s">
        <v>416</v>
      </c>
      <c r="I77" s="316" t="s">
        <v>417</v>
      </c>
      <c r="J77" s="317" t="s">
        <v>339</v>
      </c>
      <c r="K77" s="318" t="s">
        <v>418</v>
      </c>
      <c r="L77" s="134"/>
      <c r="M77" s="134"/>
      <c r="N77" s="134"/>
      <c r="O77" s="134"/>
    </row>
    <row r="78" spans="1:15" ht="15" thickBot="1" x14ac:dyDescent="0.35">
      <c r="A78" s="426" t="s">
        <v>383</v>
      </c>
      <c r="B78" s="427"/>
      <c r="C78" s="427"/>
      <c r="D78" s="145">
        <f>IF(D49="","",IF(F8="",K8,F8))</f>
        <v>10.54</v>
      </c>
      <c r="E78" s="146"/>
      <c r="F78" s="147" t="s">
        <v>419</v>
      </c>
      <c r="G78" s="147" t="s">
        <v>420</v>
      </c>
      <c r="H78" s="147" t="s">
        <v>421</v>
      </c>
      <c r="I78" s="148">
        <v>4</v>
      </c>
      <c r="J78" s="149">
        <f>IF(D77=0,0,SUM(D77*D78))</f>
        <v>0</v>
      </c>
      <c r="K78" s="150">
        <f>IF(D77=0,0,IF(F7="",(K7*D77/100),F7*D77/100))</f>
        <v>0</v>
      </c>
      <c r="L78" s="134"/>
      <c r="M78" s="134"/>
      <c r="N78" s="134"/>
      <c r="O78" s="134"/>
    </row>
    <row r="79" spans="1:15" ht="15" thickTop="1" x14ac:dyDescent="0.3">
      <c r="B79" s="111"/>
      <c r="C79" s="111"/>
      <c r="D79" s="111"/>
      <c r="E79" s="111"/>
      <c r="F79" s="111"/>
      <c r="G79" s="111"/>
      <c r="H79" s="111"/>
      <c r="I79" s="111"/>
      <c r="J79" s="111"/>
      <c r="K79" s="111"/>
      <c r="L79" s="111"/>
      <c r="M79" s="111"/>
      <c r="N79" s="111"/>
      <c r="O79" s="111"/>
    </row>
    <row r="80" spans="1:15" x14ac:dyDescent="0.3">
      <c r="A80" s="111"/>
      <c r="B80" s="111"/>
      <c r="C80" s="111"/>
      <c r="D80" s="111"/>
      <c r="E80" s="111"/>
      <c r="F80" s="111"/>
      <c r="G80" s="111"/>
      <c r="H80" s="111"/>
      <c r="I80" s="111"/>
      <c r="J80" s="111"/>
      <c r="K80" s="111"/>
      <c r="L80" s="111"/>
      <c r="M80" s="111"/>
      <c r="N80" s="111"/>
      <c r="O80" s="111"/>
    </row>
  </sheetData>
  <mergeCells count="84">
    <mergeCell ref="A78:C78"/>
    <mergeCell ref="A60:C60"/>
    <mergeCell ref="A61:C61"/>
    <mergeCell ref="A62:K62"/>
    <mergeCell ref="F64:K64"/>
    <mergeCell ref="A65:C65"/>
    <mergeCell ref="A66:C66"/>
    <mergeCell ref="F67:K67"/>
    <mergeCell ref="F68:K68"/>
    <mergeCell ref="A70:C70"/>
    <mergeCell ref="A77:C77"/>
    <mergeCell ref="F72:K72"/>
    <mergeCell ref="A74:C74"/>
    <mergeCell ref="A69:C69"/>
    <mergeCell ref="A73:C73"/>
    <mergeCell ref="F76:K76"/>
    <mergeCell ref="F58:K58"/>
    <mergeCell ref="A44:C44"/>
    <mergeCell ref="A45:C45"/>
    <mergeCell ref="A47:K47"/>
    <mergeCell ref="A48:C48"/>
    <mergeCell ref="F48:K48"/>
    <mergeCell ref="A49:C49"/>
    <mergeCell ref="A50:C50"/>
    <mergeCell ref="A51:C51"/>
    <mergeCell ref="A56:C56"/>
    <mergeCell ref="A57:C57"/>
    <mergeCell ref="A58:C58"/>
    <mergeCell ref="A52:C52"/>
    <mergeCell ref="F52:K52"/>
    <mergeCell ref="A53:C53"/>
    <mergeCell ref="A54:C54"/>
    <mergeCell ref="A43:C43"/>
    <mergeCell ref="A30:C30"/>
    <mergeCell ref="A31:C31"/>
    <mergeCell ref="A32:C32"/>
    <mergeCell ref="A33:C33"/>
    <mergeCell ref="A34:C34"/>
    <mergeCell ref="A35:C35"/>
    <mergeCell ref="A41:C41"/>
    <mergeCell ref="A42:C42"/>
    <mergeCell ref="A39:C39"/>
    <mergeCell ref="A40:C40"/>
    <mergeCell ref="A38:C38"/>
    <mergeCell ref="A37:C37"/>
    <mergeCell ref="A29:C29"/>
    <mergeCell ref="A18:C18"/>
    <mergeCell ref="A19:C19"/>
    <mergeCell ref="A20:C20"/>
    <mergeCell ref="A21:C21"/>
    <mergeCell ref="A22:C22"/>
    <mergeCell ref="A23:C23"/>
    <mergeCell ref="A24:C24"/>
    <mergeCell ref="A25:C25"/>
    <mergeCell ref="A26:C26"/>
    <mergeCell ref="A27:C27"/>
    <mergeCell ref="A28:C28"/>
    <mergeCell ref="A12:C12"/>
    <mergeCell ref="F12:K12"/>
    <mergeCell ref="A13:C13"/>
    <mergeCell ref="A15:C15"/>
    <mergeCell ref="A16:C16"/>
    <mergeCell ref="G8:J8"/>
    <mergeCell ref="A9:C9"/>
    <mergeCell ref="G9:J9"/>
    <mergeCell ref="A10:C10"/>
    <mergeCell ref="F10:K11"/>
    <mergeCell ref="A11:C11"/>
    <mergeCell ref="A17:C17"/>
    <mergeCell ref="A7:C7"/>
    <mergeCell ref="G7:J7"/>
    <mergeCell ref="A1:K1"/>
    <mergeCell ref="A2:B2"/>
    <mergeCell ref="C2:D2"/>
    <mergeCell ref="G2:K2"/>
    <mergeCell ref="A3:C3"/>
    <mergeCell ref="G3:H3"/>
    <mergeCell ref="I3:K3"/>
    <mergeCell ref="A4:C4"/>
    <mergeCell ref="G4:H4"/>
    <mergeCell ref="I4:K4"/>
    <mergeCell ref="A6:C6"/>
    <mergeCell ref="G6:K6"/>
    <mergeCell ref="A8:C8"/>
  </mergeCells>
  <printOptions horizontalCentered="1"/>
  <pageMargins left="0" right="0" top="0.75" bottom="0" header="0" footer="0"/>
  <pageSetup scale="80"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54"/>
  <sheetViews>
    <sheetView showGridLines="0" zoomScaleNormal="100" workbookViewId="0">
      <selection activeCell="D9" sqref="D9"/>
    </sheetView>
  </sheetViews>
  <sheetFormatPr defaultColWidth="9.109375" defaultRowHeight="14.4" x14ac:dyDescent="0.3"/>
  <cols>
    <col min="1" max="1" width="2.5546875" style="258" customWidth="1"/>
    <col min="2" max="2" width="14.6640625" style="259" customWidth="1"/>
    <col min="3" max="3" width="11" style="260" customWidth="1"/>
    <col min="4" max="4" width="10" style="260" customWidth="1"/>
    <col min="5" max="5" width="11.109375" style="259" customWidth="1"/>
    <col min="6" max="6" width="9.44140625" style="261" customWidth="1"/>
    <col min="7" max="7" width="10.44140625" style="260" customWidth="1"/>
    <col min="8" max="8" width="11.88671875" style="259" customWidth="1"/>
    <col min="9" max="9" width="7.6640625" style="261" bestFit="1" customWidth="1"/>
    <col min="10" max="10" width="13.6640625" style="261" customWidth="1"/>
    <col min="11" max="11" width="12.88671875" style="261" customWidth="1"/>
    <col min="12" max="12" width="15.5546875" style="261" bestFit="1" customWidth="1"/>
    <col min="13" max="15" width="12.88671875" style="261" customWidth="1"/>
    <col min="16" max="16" width="9.44140625" style="259" customWidth="1"/>
    <col min="17" max="17" width="16.5546875" style="261" customWidth="1"/>
    <col min="18" max="18" width="13" style="261" customWidth="1"/>
    <col min="19" max="19" width="12.88671875" style="261" customWidth="1"/>
    <col min="20" max="20" width="17.5546875" style="261" customWidth="1"/>
    <col min="21" max="21" width="12.88671875" style="261" customWidth="1"/>
    <col min="22" max="16384" width="9.109375" style="261"/>
  </cols>
  <sheetData>
    <row r="1" spans="1:22" x14ac:dyDescent="0.3">
      <c r="B1" s="259" t="s">
        <v>331</v>
      </c>
      <c r="J1" s="259"/>
      <c r="P1" s="261"/>
    </row>
    <row r="2" spans="1:22" ht="21.6" thickBot="1" x14ac:dyDescent="0.45">
      <c r="A2" s="262"/>
    </row>
    <row r="3" spans="1:22" ht="21.6" thickBot="1" x14ac:dyDescent="0.45">
      <c r="A3" s="262"/>
      <c r="B3" s="462" t="s">
        <v>479</v>
      </c>
      <c r="C3" s="463"/>
      <c r="D3" s="463"/>
      <c r="E3" s="463"/>
      <c r="F3" s="463"/>
      <c r="G3" s="463"/>
      <c r="H3" s="463"/>
      <c r="I3" s="463"/>
      <c r="J3" s="463"/>
      <c r="K3" s="463"/>
      <c r="L3" s="463"/>
      <c r="M3" s="463"/>
      <c r="N3" s="463"/>
      <c r="O3" s="463"/>
      <c r="P3" s="463"/>
      <c r="Q3" s="463"/>
      <c r="R3" s="464"/>
      <c r="S3" s="263"/>
    </row>
    <row r="4" spans="1:22" ht="19.2" thickTop="1" thickBot="1" x14ac:dyDescent="0.4">
      <c r="A4" s="264"/>
      <c r="B4" s="211"/>
      <c r="C4" s="212"/>
      <c r="D4" s="212"/>
      <c r="E4" s="212"/>
      <c r="F4" s="212"/>
      <c r="G4" s="212"/>
      <c r="H4" s="212"/>
      <c r="I4" s="213"/>
      <c r="J4" s="213"/>
      <c r="K4" s="213"/>
      <c r="L4" s="213"/>
      <c r="M4" s="213"/>
      <c r="N4" s="213"/>
      <c r="O4" s="213"/>
      <c r="P4" s="213"/>
      <c r="Q4" s="213"/>
      <c r="R4" s="214"/>
      <c r="V4" s="173"/>
    </row>
    <row r="5" spans="1:22" ht="15.75" customHeight="1" thickBot="1" x14ac:dyDescent="0.35">
      <c r="A5" s="265"/>
      <c r="B5" s="444" t="s">
        <v>459</v>
      </c>
      <c r="C5" s="452" t="s">
        <v>460</v>
      </c>
      <c r="D5" s="452" t="s">
        <v>469</v>
      </c>
      <c r="E5" s="455" t="s">
        <v>333</v>
      </c>
      <c r="F5" s="447" t="s">
        <v>465</v>
      </c>
      <c r="G5" s="452" t="s">
        <v>334</v>
      </c>
      <c r="H5" s="444" t="s">
        <v>335</v>
      </c>
      <c r="I5" s="447" t="s">
        <v>461</v>
      </c>
      <c r="J5" s="450" t="s">
        <v>332</v>
      </c>
      <c r="K5" s="451"/>
      <c r="L5" s="450" t="s">
        <v>332</v>
      </c>
      <c r="M5" s="451"/>
      <c r="N5" s="450" t="s">
        <v>332</v>
      </c>
      <c r="O5" s="451"/>
      <c r="P5" s="450" t="s">
        <v>332</v>
      </c>
      <c r="Q5" s="458"/>
      <c r="R5" s="451"/>
    </row>
    <row r="6" spans="1:22" ht="15.75" customHeight="1" thickBot="1" x14ac:dyDescent="0.35">
      <c r="A6" s="266"/>
      <c r="B6" s="445"/>
      <c r="C6" s="453"/>
      <c r="D6" s="453"/>
      <c r="E6" s="456"/>
      <c r="F6" s="448"/>
      <c r="G6" s="453"/>
      <c r="H6" s="445"/>
      <c r="I6" s="448"/>
      <c r="J6" s="450" t="s">
        <v>463</v>
      </c>
      <c r="K6" s="451"/>
      <c r="L6" s="450" t="s">
        <v>464</v>
      </c>
      <c r="M6" s="451"/>
      <c r="N6" s="450" t="s">
        <v>462</v>
      </c>
      <c r="O6" s="451"/>
      <c r="P6" s="450" t="s">
        <v>466</v>
      </c>
      <c r="Q6" s="458"/>
      <c r="R6" s="451"/>
    </row>
    <row r="7" spans="1:22" s="268" customFormat="1" ht="15" customHeight="1" thickBot="1" x14ac:dyDescent="0.35">
      <c r="A7" s="267"/>
      <c r="B7" s="446"/>
      <c r="C7" s="454"/>
      <c r="D7" s="215" t="s">
        <v>467</v>
      </c>
      <c r="E7" s="457"/>
      <c r="F7" s="449"/>
      <c r="G7" s="454"/>
      <c r="H7" s="446"/>
      <c r="I7" s="449"/>
      <c r="J7" s="284" t="s">
        <v>336</v>
      </c>
      <c r="K7" s="218" t="s">
        <v>337</v>
      </c>
      <c r="L7" s="284" t="s">
        <v>336</v>
      </c>
      <c r="M7" s="218" t="s">
        <v>337</v>
      </c>
      <c r="N7" s="284" t="s">
        <v>336</v>
      </c>
      <c r="O7" s="218" t="s">
        <v>337</v>
      </c>
      <c r="P7" s="294" t="s">
        <v>461</v>
      </c>
      <c r="Q7" s="216" t="s">
        <v>336</v>
      </c>
      <c r="R7" s="218" t="s">
        <v>337</v>
      </c>
    </row>
    <row r="8" spans="1:22" s="269" customFormat="1" ht="15.75" customHeight="1" x14ac:dyDescent="0.3">
      <c r="A8" s="174"/>
      <c r="B8" s="181"/>
      <c r="C8" s="206"/>
      <c r="D8" s="205"/>
      <c r="E8" s="219" t="str">
        <f t="shared" ref="E8:E26" si="0">IF(OR(B8="",C8=""),"",(C8*(B8/100)))</f>
        <v/>
      </c>
      <c r="F8" s="220" t="str">
        <f>IF(E8="","",VLOOKUP('Cond. Skim Equiv Calculation'!$C8,'Conversion Table'!$A$2:$E$42,2,TRUE))</f>
        <v/>
      </c>
      <c r="G8" s="221" t="str">
        <f>IF(E8="","",C8-F8)</f>
        <v/>
      </c>
      <c r="H8" s="272" t="str">
        <f t="shared" ref="H8:H26" si="1">IF(E8="","",B8*(G8/100))</f>
        <v/>
      </c>
      <c r="I8" s="279" t="str">
        <f>IF(OR(B8="",C8=""),"",VLOOKUP(C8,'Conversion Table'!$A$2:$E$42,4,TRUE))</f>
        <v/>
      </c>
      <c r="J8" s="285" t="str">
        <f>IF(D8=2,IF(OR(B8="",C8=""),"",I8*B8),"")</f>
        <v/>
      </c>
      <c r="K8" s="286" t="str">
        <f>IF(D8=2,IF(OR(B8="",C8=""),"",(F8*B8/100)),"")</f>
        <v/>
      </c>
      <c r="L8" s="285" t="str">
        <f>IF(D8=3,IF(OR(B8="",C8=""),"",I8*B8),"")</f>
        <v/>
      </c>
      <c r="M8" s="286" t="str">
        <f>IF(D8=3,IF(OR(B8="",C8=""),"",(F8*B8/100)),"")</f>
        <v/>
      </c>
      <c r="N8" s="285" t="str">
        <f>IF(D8=4,IF(OR(B8="",C8=""),"",I8*B8),"")</f>
        <v/>
      </c>
      <c r="O8" s="286" t="str">
        <f>IF(D8=4,IF(OR(B8="",C8=""),"",(F8*B8/100)),"")</f>
        <v/>
      </c>
      <c r="P8" s="295" t="str">
        <f>IF(D8=1,IF(B8="","",IF(C8="","",VLOOKUP(C8,'Conversion Table'!$A$2:$E$42,5,TRUE))),"")</f>
        <v/>
      </c>
      <c r="Q8" s="275" t="str">
        <f>IF(D8=1,IF(P8="","",P8*B8),"")</f>
        <v/>
      </c>
      <c r="R8" s="225" t="str">
        <f>IF(D8=1,0,"")</f>
        <v/>
      </c>
    </row>
    <row r="9" spans="1:22" s="269" customFormat="1" ht="15.75" customHeight="1" x14ac:dyDescent="0.3">
      <c r="A9" s="174"/>
      <c r="B9" s="182"/>
      <c r="C9" s="207"/>
      <c r="D9" s="205"/>
      <c r="E9" s="226" t="str">
        <f t="shared" si="0"/>
        <v/>
      </c>
      <c r="F9" s="227" t="str">
        <f>IF(C9="","",VLOOKUP('Cond. Skim Equiv Calculation'!$C9,'Conversion Table'!$A$2:$E$42,2,TRUE))</f>
        <v/>
      </c>
      <c r="G9" s="228" t="str">
        <f t="shared" ref="G9:G26" si="2">IF(E9="","",C9-F9)</f>
        <v/>
      </c>
      <c r="H9" s="273" t="str">
        <f t="shared" si="1"/>
        <v/>
      </c>
      <c r="I9" s="280" t="str">
        <f>IF(OR(B9="",C9=""),"",VLOOKUP(C9,'Conversion Table'!$A$2:$E$42,4,TRUE))</f>
        <v/>
      </c>
      <c r="J9" s="287" t="str">
        <f t="shared" ref="J9:J26" si="3">IF(D9=2,IF(OR(B9="",C9=""),"",I9*B9),"")</f>
        <v/>
      </c>
      <c r="K9" s="288" t="str">
        <f t="shared" ref="K9:K26" si="4">IF(D9=2,IF(OR(B9="",C9=""),"",(F9*B9/100)),"")</f>
        <v/>
      </c>
      <c r="L9" s="287" t="str">
        <f t="shared" ref="L9:L26" si="5">IF(D9=3,IF(OR(B9="",C9=""),"",I9*B9),"")</f>
        <v/>
      </c>
      <c r="M9" s="288" t="str">
        <f t="shared" ref="M9:M26" si="6">IF(D9=3,IF(OR(B9="",C9=""),"",(F9*B9/100)),"")</f>
        <v/>
      </c>
      <c r="N9" s="287" t="str">
        <f t="shared" ref="N9:N26" si="7">IF(D9=4,IF(OR(B9="",C9=""),"",I9*B9),"")</f>
        <v/>
      </c>
      <c r="O9" s="288" t="str">
        <f t="shared" ref="O9:O26" si="8">IF(D9=4,IF(OR(B9="",C9=""),"",(F9*B9/100)),"")</f>
        <v/>
      </c>
      <c r="P9" s="280" t="str">
        <f>IF(D9=1,IF(B9="","",IF(C9="","",VLOOKUP(C9,'Conversion Table'!$A$2:$E$42,5,TRUE))),"")</f>
        <v/>
      </c>
      <c r="Q9" s="276" t="str">
        <f t="shared" ref="Q9:Q26" si="9">IF(D9=1,IF(P9="","",P9*B9),"")</f>
        <v/>
      </c>
      <c r="R9" s="233" t="str">
        <f t="shared" ref="R9:R26" si="10">IF(D9=1,0,"")</f>
        <v/>
      </c>
    </row>
    <row r="10" spans="1:22" s="269" customFormat="1" ht="15.75" customHeight="1" x14ac:dyDescent="0.3">
      <c r="A10" s="174"/>
      <c r="B10" s="182"/>
      <c r="C10" s="207"/>
      <c r="D10" s="205"/>
      <c r="E10" s="234" t="str">
        <f t="shared" si="0"/>
        <v/>
      </c>
      <c r="F10" s="235" t="str">
        <f>IF(C10="","",VLOOKUP('Cond. Skim Equiv Calculation'!$C10,'Conversion Table'!$A$2:$E$42,2,TRUE))</f>
        <v/>
      </c>
      <c r="G10" s="236" t="str">
        <f t="shared" si="2"/>
        <v/>
      </c>
      <c r="H10" s="274" t="str">
        <f t="shared" si="1"/>
        <v/>
      </c>
      <c r="I10" s="281" t="str">
        <f>IF(OR(B10="",C10=""),"",VLOOKUP(C10,'Conversion Table'!$A$2:$E$42,4,TRUE))</f>
        <v/>
      </c>
      <c r="J10" s="289" t="str">
        <f t="shared" si="3"/>
        <v/>
      </c>
      <c r="K10" s="290" t="str">
        <f t="shared" si="4"/>
        <v/>
      </c>
      <c r="L10" s="289" t="str">
        <f t="shared" si="5"/>
        <v/>
      </c>
      <c r="M10" s="290" t="str">
        <f t="shared" si="6"/>
        <v/>
      </c>
      <c r="N10" s="289" t="str">
        <f t="shared" si="7"/>
        <v/>
      </c>
      <c r="O10" s="290" t="str">
        <f t="shared" si="8"/>
        <v/>
      </c>
      <c r="P10" s="282" t="str">
        <f>IF(D10=1,IF(B10="","",IF(C10="","",VLOOKUP(C10,'Conversion Table'!$A$2:$E$42,5,TRUE))),"")</f>
        <v/>
      </c>
      <c r="Q10" s="277" t="str">
        <f t="shared" si="9"/>
        <v/>
      </c>
      <c r="R10" s="241" t="str">
        <f t="shared" si="10"/>
        <v/>
      </c>
    </row>
    <row r="11" spans="1:22" s="269" customFormat="1" ht="15.75" customHeight="1" x14ac:dyDescent="0.3">
      <c r="A11" s="174"/>
      <c r="B11" s="182"/>
      <c r="C11" s="207"/>
      <c r="D11" s="205"/>
      <c r="E11" s="226" t="str">
        <f t="shared" si="0"/>
        <v/>
      </c>
      <c r="F11" s="227" t="str">
        <f>IF(C11="","",VLOOKUP('Cond. Skim Equiv Calculation'!$C11,'Conversion Table'!$A$2:$E$42,2,TRUE))</f>
        <v/>
      </c>
      <c r="G11" s="228" t="str">
        <f t="shared" si="2"/>
        <v/>
      </c>
      <c r="H11" s="273" t="str">
        <f t="shared" si="1"/>
        <v/>
      </c>
      <c r="I11" s="280" t="str">
        <f>IF(OR(B11="",C11=""),"",VLOOKUP(C11,'Conversion Table'!$A$2:$E$42,4,TRUE))</f>
        <v/>
      </c>
      <c r="J11" s="287" t="str">
        <f t="shared" si="3"/>
        <v/>
      </c>
      <c r="K11" s="288" t="str">
        <f t="shared" si="4"/>
        <v/>
      </c>
      <c r="L11" s="287" t="str">
        <f t="shared" si="5"/>
        <v/>
      </c>
      <c r="M11" s="288" t="str">
        <f t="shared" si="6"/>
        <v/>
      </c>
      <c r="N11" s="287" t="str">
        <f t="shared" si="7"/>
        <v/>
      </c>
      <c r="O11" s="288" t="str">
        <f t="shared" si="8"/>
        <v/>
      </c>
      <c r="P11" s="280" t="str">
        <f>IF(D11=1,IF(B11="","",IF(C11="","",VLOOKUP(C11,'Conversion Table'!$A$2:$E$42,5,TRUE))),"")</f>
        <v/>
      </c>
      <c r="Q11" s="276" t="str">
        <f t="shared" si="9"/>
        <v/>
      </c>
      <c r="R11" s="233" t="str">
        <f t="shared" si="10"/>
        <v/>
      </c>
    </row>
    <row r="12" spans="1:22" s="269" customFormat="1" ht="15.75" customHeight="1" x14ac:dyDescent="0.3">
      <c r="A12" s="174"/>
      <c r="B12" s="182"/>
      <c r="C12" s="207"/>
      <c r="D12" s="205"/>
      <c r="E12" s="234" t="str">
        <f t="shared" si="0"/>
        <v/>
      </c>
      <c r="F12" s="235" t="str">
        <f>IF(C12="","",VLOOKUP('Cond. Skim Equiv Calculation'!$C12,'Conversion Table'!$A$2:$E$42,2,TRUE))</f>
        <v/>
      </c>
      <c r="G12" s="236" t="str">
        <f t="shared" si="2"/>
        <v/>
      </c>
      <c r="H12" s="274" t="str">
        <f t="shared" si="1"/>
        <v/>
      </c>
      <c r="I12" s="282" t="str">
        <f>IF(OR(B12="",C12=""),"",VLOOKUP(C12,'Conversion Table'!$A$2:$E$42,4,TRUE))</f>
        <v/>
      </c>
      <c r="J12" s="289" t="str">
        <f t="shared" si="3"/>
        <v/>
      </c>
      <c r="K12" s="290" t="str">
        <f t="shared" si="4"/>
        <v/>
      </c>
      <c r="L12" s="289" t="str">
        <f t="shared" si="5"/>
        <v/>
      </c>
      <c r="M12" s="290" t="str">
        <f t="shared" si="6"/>
        <v/>
      </c>
      <c r="N12" s="289" t="str">
        <f t="shared" si="7"/>
        <v/>
      </c>
      <c r="O12" s="290" t="str">
        <f t="shared" si="8"/>
        <v/>
      </c>
      <c r="P12" s="282" t="str">
        <f>IF(D12=1,IF(B12="","",IF(C12="","",VLOOKUP(C12,'Conversion Table'!$A$2:$E$42,5,TRUE))),"")</f>
        <v/>
      </c>
      <c r="Q12" s="277" t="str">
        <f t="shared" si="9"/>
        <v/>
      </c>
      <c r="R12" s="241" t="str">
        <f t="shared" si="10"/>
        <v/>
      </c>
    </row>
    <row r="13" spans="1:22" s="269" customFormat="1" ht="15.75" customHeight="1" x14ac:dyDescent="0.3">
      <c r="A13" s="174"/>
      <c r="B13" s="182"/>
      <c r="C13" s="207"/>
      <c r="D13" s="205"/>
      <c r="E13" s="226" t="str">
        <f t="shared" si="0"/>
        <v/>
      </c>
      <c r="F13" s="227" t="str">
        <f>IF(C13="","",VLOOKUP('Cond. Skim Equiv Calculation'!$C13,'Conversion Table'!$A$2:$E$42,2,TRUE))</f>
        <v/>
      </c>
      <c r="G13" s="228" t="str">
        <f t="shared" si="2"/>
        <v/>
      </c>
      <c r="H13" s="273" t="str">
        <f t="shared" si="1"/>
        <v/>
      </c>
      <c r="I13" s="280" t="str">
        <f>IF(OR(B13="",C13=""),"",VLOOKUP(C13,'Conversion Table'!$A$2:$E$42,4,TRUE))</f>
        <v/>
      </c>
      <c r="J13" s="287" t="str">
        <f t="shared" si="3"/>
        <v/>
      </c>
      <c r="K13" s="288" t="str">
        <f t="shared" si="4"/>
        <v/>
      </c>
      <c r="L13" s="287" t="str">
        <f t="shared" si="5"/>
        <v/>
      </c>
      <c r="M13" s="288" t="str">
        <f t="shared" si="6"/>
        <v/>
      </c>
      <c r="N13" s="287" t="str">
        <f t="shared" si="7"/>
        <v/>
      </c>
      <c r="O13" s="288" t="str">
        <f t="shared" si="8"/>
        <v/>
      </c>
      <c r="P13" s="280" t="str">
        <f>IF(D13=1,IF(B13="","",IF(C13="","",VLOOKUP(C13,'Conversion Table'!$A$2:$E$42,5,TRUE))),"")</f>
        <v/>
      </c>
      <c r="Q13" s="276" t="str">
        <f t="shared" si="9"/>
        <v/>
      </c>
      <c r="R13" s="233" t="str">
        <f t="shared" si="10"/>
        <v/>
      </c>
    </row>
    <row r="14" spans="1:22" s="269" customFormat="1" ht="15.75" customHeight="1" x14ac:dyDescent="0.3">
      <c r="A14" s="174"/>
      <c r="B14" s="182"/>
      <c r="C14" s="207"/>
      <c r="D14" s="205"/>
      <c r="E14" s="234" t="str">
        <f t="shared" si="0"/>
        <v/>
      </c>
      <c r="F14" s="235" t="str">
        <f>IF(C14="","",VLOOKUP('Cond. Skim Equiv Calculation'!$C14,'Conversion Table'!$A$2:$E$42,2,TRUE))</f>
        <v/>
      </c>
      <c r="G14" s="236" t="str">
        <f t="shared" si="2"/>
        <v/>
      </c>
      <c r="H14" s="274" t="str">
        <f t="shared" si="1"/>
        <v/>
      </c>
      <c r="I14" s="282" t="str">
        <f>IF(OR(B14="",C14=""),"",VLOOKUP(C14,'Conversion Table'!$A$2:$E$42,4,TRUE))</f>
        <v/>
      </c>
      <c r="J14" s="289" t="str">
        <f t="shared" si="3"/>
        <v/>
      </c>
      <c r="K14" s="290" t="str">
        <f t="shared" si="4"/>
        <v/>
      </c>
      <c r="L14" s="289" t="str">
        <f t="shared" si="5"/>
        <v/>
      </c>
      <c r="M14" s="290" t="str">
        <f t="shared" si="6"/>
        <v/>
      </c>
      <c r="N14" s="289" t="str">
        <f t="shared" si="7"/>
        <v/>
      </c>
      <c r="O14" s="290" t="str">
        <f t="shared" si="8"/>
        <v/>
      </c>
      <c r="P14" s="282" t="str">
        <f>IF(D14=1,IF(B14="","",IF(C14="","",VLOOKUP(C14,'Conversion Table'!$A$2:$E$42,5,TRUE))),"")</f>
        <v/>
      </c>
      <c r="Q14" s="277" t="str">
        <f t="shared" si="9"/>
        <v/>
      </c>
      <c r="R14" s="241" t="str">
        <f t="shared" si="10"/>
        <v/>
      </c>
    </row>
    <row r="15" spans="1:22" s="269" customFormat="1" ht="15.75" customHeight="1" x14ac:dyDescent="0.3">
      <c r="A15" s="174"/>
      <c r="B15" s="182"/>
      <c r="C15" s="207"/>
      <c r="D15" s="205"/>
      <c r="E15" s="226" t="str">
        <f t="shared" si="0"/>
        <v/>
      </c>
      <c r="F15" s="227" t="str">
        <f>IF(C15="","",VLOOKUP('Cond. Skim Equiv Calculation'!$C15,'Conversion Table'!$A$2:$E$42,2,TRUE))</f>
        <v/>
      </c>
      <c r="G15" s="228" t="str">
        <f t="shared" si="2"/>
        <v/>
      </c>
      <c r="H15" s="273" t="str">
        <f t="shared" si="1"/>
        <v/>
      </c>
      <c r="I15" s="280" t="str">
        <f>IF(OR(B15="",C15=""),"",VLOOKUP(C15,'Conversion Table'!$A$2:$E$42,4,TRUE))</f>
        <v/>
      </c>
      <c r="J15" s="287" t="str">
        <f t="shared" si="3"/>
        <v/>
      </c>
      <c r="K15" s="288" t="str">
        <f t="shared" si="4"/>
        <v/>
      </c>
      <c r="L15" s="287" t="str">
        <f t="shared" si="5"/>
        <v/>
      </c>
      <c r="M15" s="288" t="str">
        <f t="shared" si="6"/>
        <v/>
      </c>
      <c r="N15" s="287" t="str">
        <f t="shared" si="7"/>
        <v/>
      </c>
      <c r="O15" s="288" t="str">
        <f t="shared" si="8"/>
        <v/>
      </c>
      <c r="P15" s="280" t="str">
        <f>IF(D15=1,IF(B15="","",IF(C15="","",VLOOKUP(C15,'Conversion Table'!$A$2:$E$42,5,TRUE))),"")</f>
        <v/>
      </c>
      <c r="Q15" s="276" t="str">
        <f t="shared" si="9"/>
        <v/>
      </c>
      <c r="R15" s="233" t="str">
        <f t="shared" si="10"/>
        <v/>
      </c>
    </row>
    <row r="16" spans="1:22" s="269" customFormat="1" ht="15.75" customHeight="1" x14ac:dyDescent="0.3">
      <c r="A16" s="174"/>
      <c r="B16" s="182"/>
      <c r="C16" s="207"/>
      <c r="D16" s="205"/>
      <c r="E16" s="234" t="str">
        <f t="shared" si="0"/>
        <v/>
      </c>
      <c r="F16" s="235" t="str">
        <f>IF(C16="","",VLOOKUP('Cond. Skim Equiv Calculation'!$C16,'Conversion Table'!$A$2:$E$42,2,TRUE))</f>
        <v/>
      </c>
      <c r="G16" s="236" t="str">
        <f t="shared" si="2"/>
        <v/>
      </c>
      <c r="H16" s="274" t="str">
        <f t="shared" si="1"/>
        <v/>
      </c>
      <c r="I16" s="282" t="str">
        <f>IF(OR(B16="",C16=""),"",VLOOKUP(C16,'Conversion Table'!$A$2:$E$42,4,TRUE))</f>
        <v/>
      </c>
      <c r="J16" s="289" t="str">
        <f t="shared" si="3"/>
        <v/>
      </c>
      <c r="K16" s="290" t="str">
        <f t="shared" si="4"/>
        <v/>
      </c>
      <c r="L16" s="289" t="str">
        <f t="shared" si="5"/>
        <v/>
      </c>
      <c r="M16" s="290" t="str">
        <f t="shared" si="6"/>
        <v/>
      </c>
      <c r="N16" s="289" t="str">
        <f t="shared" si="7"/>
        <v/>
      </c>
      <c r="O16" s="290" t="str">
        <f t="shared" si="8"/>
        <v/>
      </c>
      <c r="P16" s="282" t="str">
        <f>IF(D16=1,IF(B16="","",IF(C16="","",VLOOKUP(C16,'Conversion Table'!$A$2:$E$42,5,TRUE))),"")</f>
        <v/>
      </c>
      <c r="Q16" s="277" t="str">
        <f t="shared" si="9"/>
        <v/>
      </c>
      <c r="R16" s="241" t="str">
        <f t="shared" si="10"/>
        <v/>
      </c>
    </row>
    <row r="17" spans="1:18" s="269" customFormat="1" ht="15.75" customHeight="1" x14ac:dyDescent="0.3">
      <c r="A17" s="174"/>
      <c r="B17" s="182"/>
      <c r="C17" s="207"/>
      <c r="D17" s="205"/>
      <c r="E17" s="226" t="str">
        <f t="shared" si="0"/>
        <v/>
      </c>
      <c r="F17" s="227" t="str">
        <f>IF(C17="","",VLOOKUP('Cond. Skim Equiv Calculation'!$C17,'Conversion Table'!$A$2:$E$42,2,TRUE))</f>
        <v/>
      </c>
      <c r="G17" s="228" t="str">
        <f t="shared" si="2"/>
        <v/>
      </c>
      <c r="H17" s="273" t="str">
        <f t="shared" si="1"/>
        <v/>
      </c>
      <c r="I17" s="280" t="str">
        <f>IF(OR(B17="",C17=""),"",VLOOKUP(C17,'Conversion Table'!$A$2:$E$42,4,TRUE))</f>
        <v/>
      </c>
      <c r="J17" s="287" t="str">
        <f t="shared" si="3"/>
        <v/>
      </c>
      <c r="K17" s="288" t="str">
        <f t="shared" si="4"/>
        <v/>
      </c>
      <c r="L17" s="287" t="str">
        <f t="shared" si="5"/>
        <v/>
      </c>
      <c r="M17" s="288" t="str">
        <f t="shared" si="6"/>
        <v/>
      </c>
      <c r="N17" s="287" t="str">
        <f t="shared" si="7"/>
        <v/>
      </c>
      <c r="O17" s="288" t="str">
        <f t="shared" si="8"/>
        <v/>
      </c>
      <c r="P17" s="280" t="str">
        <f>IF(D17=1,IF(B17="","",IF(C17="","",VLOOKUP(C17,'Conversion Table'!$A$2:$E$42,5,TRUE))),"")</f>
        <v/>
      </c>
      <c r="Q17" s="276" t="str">
        <f t="shared" si="9"/>
        <v/>
      </c>
      <c r="R17" s="233" t="str">
        <f t="shared" si="10"/>
        <v/>
      </c>
    </row>
    <row r="18" spans="1:18" s="269" customFormat="1" ht="15.75" customHeight="1" x14ac:dyDescent="0.3">
      <c r="A18" s="174"/>
      <c r="B18" s="182"/>
      <c r="C18" s="207"/>
      <c r="D18" s="205"/>
      <c r="E18" s="234" t="str">
        <f t="shared" si="0"/>
        <v/>
      </c>
      <c r="F18" s="235" t="str">
        <f>IF(C18="","",VLOOKUP('Cond. Skim Equiv Calculation'!$C18,'Conversion Table'!$A$2:$E$42,2,TRUE))</f>
        <v/>
      </c>
      <c r="G18" s="236" t="str">
        <f t="shared" si="2"/>
        <v/>
      </c>
      <c r="H18" s="274" t="str">
        <f t="shared" si="1"/>
        <v/>
      </c>
      <c r="I18" s="282" t="str">
        <f>IF(OR(B18="",C18=""),"",VLOOKUP(C18,'Conversion Table'!$A$2:$E$42,4,TRUE))</f>
        <v/>
      </c>
      <c r="J18" s="289" t="str">
        <f t="shared" si="3"/>
        <v/>
      </c>
      <c r="K18" s="290" t="str">
        <f t="shared" si="4"/>
        <v/>
      </c>
      <c r="L18" s="289" t="str">
        <f t="shared" si="5"/>
        <v/>
      </c>
      <c r="M18" s="290" t="str">
        <f t="shared" si="6"/>
        <v/>
      </c>
      <c r="N18" s="289" t="str">
        <f t="shared" si="7"/>
        <v/>
      </c>
      <c r="O18" s="290" t="str">
        <f t="shared" si="8"/>
        <v/>
      </c>
      <c r="P18" s="282" t="str">
        <f>IF(D18=1,IF(B18="","",IF(C18="","",VLOOKUP(C18,'Conversion Table'!$A$2:$E$42,5,TRUE))),"")</f>
        <v/>
      </c>
      <c r="Q18" s="277" t="str">
        <f t="shared" si="9"/>
        <v/>
      </c>
      <c r="R18" s="241" t="str">
        <f t="shared" si="10"/>
        <v/>
      </c>
    </row>
    <row r="19" spans="1:18" s="269" customFormat="1" ht="15.75" customHeight="1" x14ac:dyDescent="0.3">
      <c r="A19" s="174"/>
      <c r="B19" s="182"/>
      <c r="C19" s="207"/>
      <c r="D19" s="205"/>
      <c r="E19" s="226" t="str">
        <f t="shared" si="0"/>
        <v/>
      </c>
      <c r="F19" s="227" t="str">
        <f>IF(C19="","",VLOOKUP('Cond. Skim Equiv Calculation'!$C19,'Conversion Table'!$A$2:$E$42,2,TRUE))</f>
        <v/>
      </c>
      <c r="G19" s="228" t="str">
        <f t="shared" si="2"/>
        <v/>
      </c>
      <c r="H19" s="273" t="str">
        <f t="shared" si="1"/>
        <v/>
      </c>
      <c r="I19" s="280" t="str">
        <f>IF(OR(B19="",C19=""),"",VLOOKUP(C19,'Conversion Table'!$A$2:$E$42,4,TRUE))</f>
        <v/>
      </c>
      <c r="J19" s="287" t="str">
        <f t="shared" si="3"/>
        <v/>
      </c>
      <c r="K19" s="288" t="str">
        <f t="shared" si="4"/>
        <v/>
      </c>
      <c r="L19" s="287" t="str">
        <f t="shared" si="5"/>
        <v/>
      </c>
      <c r="M19" s="288" t="str">
        <f t="shared" si="6"/>
        <v/>
      </c>
      <c r="N19" s="287" t="str">
        <f t="shared" si="7"/>
        <v/>
      </c>
      <c r="O19" s="288" t="str">
        <f t="shared" si="8"/>
        <v/>
      </c>
      <c r="P19" s="280" t="str">
        <f>IF(D19=1,IF(B19="","",IF(C19="","",VLOOKUP(C19,'Conversion Table'!$A$2:$E$42,5,TRUE))),"")</f>
        <v/>
      </c>
      <c r="Q19" s="276" t="str">
        <f t="shared" si="9"/>
        <v/>
      </c>
      <c r="R19" s="233" t="str">
        <f t="shared" si="10"/>
        <v/>
      </c>
    </row>
    <row r="20" spans="1:18" s="269" customFormat="1" ht="15.75" customHeight="1" x14ac:dyDescent="0.3">
      <c r="A20" s="174"/>
      <c r="B20" s="182"/>
      <c r="C20" s="207"/>
      <c r="D20" s="205"/>
      <c r="E20" s="234" t="str">
        <f t="shared" si="0"/>
        <v/>
      </c>
      <c r="F20" s="235" t="str">
        <f>IF(C20="","",VLOOKUP('Cond. Skim Equiv Calculation'!$C20,'Conversion Table'!$A$2:$E$42,2,TRUE))</f>
        <v/>
      </c>
      <c r="G20" s="236" t="str">
        <f t="shared" si="2"/>
        <v/>
      </c>
      <c r="H20" s="274" t="str">
        <f t="shared" si="1"/>
        <v/>
      </c>
      <c r="I20" s="282" t="str">
        <f>IF(OR(B20="",C20=""),"",VLOOKUP(C20,'Conversion Table'!$A$2:$E$42,4,TRUE))</f>
        <v/>
      </c>
      <c r="J20" s="289" t="str">
        <f t="shared" si="3"/>
        <v/>
      </c>
      <c r="K20" s="290" t="str">
        <f t="shared" si="4"/>
        <v/>
      </c>
      <c r="L20" s="289" t="str">
        <f t="shared" si="5"/>
        <v/>
      </c>
      <c r="M20" s="290" t="str">
        <f t="shared" si="6"/>
        <v/>
      </c>
      <c r="N20" s="289" t="str">
        <f t="shared" si="7"/>
        <v/>
      </c>
      <c r="O20" s="290" t="str">
        <f t="shared" si="8"/>
        <v/>
      </c>
      <c r="P20" s="282" t="str">
        <f>IF(D20=1,IF(B20="","",IF(C20="","",VLOOKUP(C20,'Conversion Table'!$A$2:$E$42,5,TRUE))),"")</f>
        <v/>
      </c>
      <c r="Q20" s="277" t="str">
        <f t="shared" si="9"/>
        <v/>
      </c>
      <c r="R20" s="241" t="str">
        <f t="shared" si="10"/>
        <v/>
      </c>
    </row>
    <row r="21" spans="1:18" s="269" customFormat="1" ht="15.75" customHeight="1" x14ac:dyDescent="0.3">
      <c r="A21" s="174"/>
      <c r="B21" s="182"/>
      <c r="C21" s="207"/>
      <c r="D21" s="205"/>
      <c r="E21" s="226" t="str">
        <f t="shared" si="0"/>
        <v/>
      </c>
      <c r="F21" s="227" t="str">
        <f>IF(C21="","",VLOOKUP('Cond. Skim Equiv Calculation'!$C21,'Conversion Table'!$A$2:$E$42,2,TRUE))</f>
        <v/>
      </c>
      <c r="G21" s="228" t="str">
        <f t="shared" si="2"/>
        <v/>
      </c>
      <c r="H21" s="273" t="str">
        <f t="shared" si="1"/>
        <v/>
      </c>
      <c r="I21" s="280" t="str">
        <f>IF(OR(B21="",C21=""),"",VLOOKUP(C21,'Conversion Table'!$A$2:$E$42,4,TRUE))</f>
        <v/>
      </c>
      <c r="J21" s="287" t="str">
        <f t="shared" si="3"/>
        <v/>
      </c>
      <c r="K21" s="288" t="str">
        <f t="shared" si="4"/>
        <v/>
      </c>
      <c r="L21" s="287" t="str">
        <f t="shared" si="5"/>
        <v/>
      </c>
      <c r="M21" s="288" t="str">
        <f t="shared" si="6"/>
        <v/>
      </c>
      <c r="N21" s="287" t="str">
        <f t="shared" si="7"/>
        <v/>
      </c>
      <c r="O21" s="288" t="str">
        <f t="shared" si="8"/>
        <v/>
      </c>
      <c r="P21" s="280" t="str">
        <f>IF(D21=1,IF(B21="","",IF(C21="","",VLOOKUP(C21,'Conversion Table'!$A$2:$E$42,5,TRUE))),"")</f>
        <v/>
      </c>
      <c r="Q21" s="276" t="str">
        <f t="shared" si="9"/>
        <v/>
      </c>
      <c r="R21" s="233" t="str">
        <f t="shared" si="10"/>
        <v/>
      </c>
    </row>
    <row r="22" spans="1:18" s="269" customFormat="1" ht="15.75" customHeight="1" x14ac:dyDescent="0.3">
      <c r="A22" s="174"/>
      <c r="B22" s="182"/>
      <c r="C22" s="207"/>
      <c r="D22" s="205"/>
      <c r="E22" s="234" t="str">
        <f t="shared" si="0"/>
        <v/>
      </c>
      <c r="F22" s="235" t="str">
        <f>IF(C22="","",VLOOKUP('Cond. Skim Equiv Calculation'!$C22,'Conversion Table'!$A$2:$E$42,2,TRUE))</f>
        <v/>
      </c>
      <c r="G22" s="236" t="str">
        <f t="shared" si="2"/>
        <v/>
      </c>
      <c r="H22" s="274" t="str">
        <f t="shared" si="1"/>
        <v/>
      </c>
      <c r="I22" s="282" t="str">
        <f>IF(OR(B22="",C22=""),"",VLOOKUP(C22,'Conversion Table'!$A$2:$E$42,4,TRUE))</f>
        <v/>
      </c>
      <c r="J22" s="289" t="str">
        <f t="shared" si="3"/>
        <v/>
      </c>
      <c r="K22" s="290" t="str">
        <f t="shared" si="4"/>
        <v/>
      </c>
      <c r="L22" s="289" t="str">
        <f t="shared" si="5"/>
        <v/>
      </c>
      <c r="M22" s="290" t="str">
        <f t="shared" si="6"/>
        <v/>
      </c>
      <c r="N22" s="289" t="str">
        <f t="shared" si="7"/>
        <v/>
      </c>
      <c r="O22" s="290" t="str">
        <f t="shared" si="8"/>
        <v/>
      </c>
      <c r="P22" s="282" t="str">
        <f>IF(D22=1,IF(B22="","",IF(C22="","",VLOOKUP(C22,'Conversion Table'!$A$2:$E$42,5,TRUE))),"")</f>
        <v/>
      </c>
      <c r="Q22" s="277" t="str">
        <f t="shared" si="9"/>
        <v/>
      </c>
      <c r="R22" s="241" t="str">
        <f t="shared" si="10"/>
        <v/>
      </c>
    </row>
    <row r="23" spans="1:18" s="269" customFormat="1" ht="15.75" customHeight="1" x14ac:dyDescent="0.3">
      <c r="A23" s="174"/>
      <c r="B23" s="182"/>
      <c r="C23" s="207"/>
      <c r="D23" s="205"/>
      <c r="E23" s="226" t="str">
        <f t="shared" si="0"/>
        <v/>
      </c>
      <c r="F23" s="227" t="str">
        <f>IF(C23="","",VLOOKUP('Cond. Skim Equiv Calculation'!$C23,'Conversion Table'!$A$2:$E$42,2,TRUE))</f>
        <v/>
      </c>
      <c r="G23" s="228" t="str">
        <f t="shared" si="2"/>
        <v/>
      </c>
      <c r="H23" s="273" t="str">
        <f t="shared" si="1"/>
        <v/>
      </c>
      <c r="I23" s="280" t="str">
        <f>IF(OR(B23="",C23=""),"",VLOOKUP(C23,'Conversion Table'!$A$2:$E$42,4,TRUE))</f>
        <v/>
      </c>
      <c r="J23" s="287" t="str">
        <f t="shared" si="3"/>
        <v/>
      </c>
      <c r="K23" s="288" t="str">
        <f t="shared" si="4"/>
        <v/>
      </c>
      <c r="L23" s="287" t="str">
        <f t="shared" si="5"/>
        <v/>
      </c>
      <c r="M23" s="288" t="str">
        <f t="shared" si="6"/>
        <v/>
      </c>
      <c r="N23" s="287" t="str">
        <f t="shared" si="7"/>
        <v/>
      </c>
      <c r="O23" s="288" t="str">
        <f t="shared" si="8"/>
        <v/>
      </c>
      <c r="P23" s="280" t="str">
        <f>IF(D23=1,IF(B23="","",IF(C23="","",VLOOKUP(C23,'Conversion Table'!$A$2:$E$42,5,TRUE))),"")</f>
        <v/>
      </c>
      <c r="Q23" s="276" t="str">
        <f t="shared" si="9"/>
        <v/>
      </c>
      <c r="R23" s="233" t="str">
        <f t="shared" si="10"/>
        <v/>
      </c>
    </row>
    <row r="24" spans="1:18" s="269" customFormat="1" ht="15.75" customHeight="1" x14ac:dyDescent="0.3">
      <c r="A24" s="174"/>
      <c r="B24" s="182"/>
      <c r="C24" s="207"/>
      <c r="D24" s="205"/>
      <c r="E24" s="234" t="str">
        <f t="shared" si="0"/>
        <v/>
      </c>
      <c r="F24" s="235" t="str">
        <f>IF(C24="","",VLOOKUP('Cond. Skim Equiv Calculation'!$C24,'Conversion Table'!$A$2:$E$42,2,TRUE))</f>
        <v/>
      </c>
      <c r="G24" s="236" t="str">
        <f t="shared" si="2"/>
        <v/>
      </c>
      <c r="H24" s="274" t="str">
        <f t="shared" si="1"/>
        <v/>
      </c>
      <c r="I24" s="282" t="str">
        <f>IF(OR(B24="",C24=""),"",VLOOKUP(C24,'Conversion Table'!$A$2:$E$42,4,TRUE))</f>
        <v/>
      </c>
      <c r="J24" s="289" t="str">
        <f t="shared" si="3"/>
        <v/>
      </c>
      <c r="K24" s="290" t="str">
        <f t="shared" si="4"/>
        <v/>
      </c>
      <c r="L24" s="289" t="str">
        <f t="shared" si="5"/>
        <v/>
      </c>
      <c r="M24" s="290" t="str">
        <f t="shared" si="6"/>
        <v/>
      </c>
      <c r="N24" s="289" t="str">
        <f t="shared" si="7"/>
        <v/>
      </c>
      <c r="O24" s="290" t="str">
        <f t="shared" si="8"/>
        <v/>
      </c>
      <c r="P24" s="282" t="str">
        <f>IF(D24=1,IF(B24="","",IF(C24="","",VLOOKUP(C24,'Conversion Table'!$A$2:$E$42,5,TRUE))),"")</f>
        <v/>
      </c>
      <c r="Q24" s="277" t="str">
        <f t="shared" si="9"/>
        <v/>
      </c>
      <c r="R24" s="241" t="str">
        <f t="shared" si="10"/>
        <v/>
      </c>
    </row>
    <row r="25" spans="1:18" s="269" customFormat="1" ht="15.75" customHeight="1" x14ac:dyDescent="0.3">
      <c r="A25" s="174"/>
      <c r="B25" s="182"/>
      <c r="C25" s="207"/>
      <c r="D25" s="205"/>
      <c r="E25" s="226" t="str">
        <f t="shared" si="0"/>
        <v/>
      </c>
      <c r="F25" s="227" t="str">
        <f>IF(C25="","",VLOOKUP('Cond. Skim Equiv Calculation'!$C25,'Conversion Table'!$A$2:$E$42,2,TRUE))</f>
        <v/>
      </c>
      <c r="G25" s="228" t="str">
        <f t="shared" si="2"/>
        <v/>
      </c>
      <c r="H25" s="273" t="str">
        <f t="shared" si="1"/>
        <v/>
      </c>
      <c r="I25" s="280" t="str">
        <f>IF(OR(B25="",C25=""),"",VLOOKUP(C25,'Conversion Table'!$A$2:$E$42,4,TRUE))</f>
        <v/>
      </c>
      <c r="J25" s="287" t="str">
        <f t="shared" si="3"/>
        <v/>
      </c>
      <c r="K25" s="288" t="str">
        <f t="shared" si="4"/>
        <v/>
      </c>
      <c r="L25" s="287" t="str">
        <f t="shared" si="5"/>
        <v/>
      </c>
      <c r="M25" s="288" t="str">
        <f t="shared" si="6"/>
        <v/>
      </c>
      <c r="N25" s="287" t="str">
        <f t="shared" si="7"/>
        <v/>
      </c>
      <c r="O25" s="288" t="str">
        <f t="shared" si="8"/>
        <v/>
      </c>
      <c r="P25" s="280" t="str">
        <f>IF(D25=1,IF(B25="","",IF(C25="","",VLOOKUP(C25,'Conversion Table'!$A$2:$E$42,5,TRUE))),"")</f>
        <v/>
      </c>
      <c r="Q25" s="276" t="str">
        <f t="shared" si="9"/>
        <v/>
      </c>
      <c r="R25" s="233" t="str">
        <f t="shared" si="10"/>
        <v/>
      </c>
    </row>
    <row r="26" spans="1:18" s="269" customFormat="1" ht="15.75" customHeight="1" thickBot="1" x14ac:dyDescent="0.35">
      <c r="A26" s="174"/>
      <c r="B26" s="183"/>
      <c r="C26" s="208"/>
      <c r="D26" s="209"/>
      <c r="E26" s="234" t="str">
        <f t="shared" si="0"/>
        <v/>
      </c>
      <c r="F26" s="235" t="str">
        <f>IF(C26="","",VLOOKUP('Cond. Skim Equiv Calculation'!$C26,'Conversion Table'!$A$2:$E$42,2,TRUE))</f>
        <v/>
      </c>
      <c r="G26" s="236" t="str">
        <f t="shared" si="2"/>
        <v/>
      </c>
      <c r="H26" s="274" t="str">
        <f t="shared" si="1"/>
        <v/>
      </c>
      <c r="I26" s="282" t="str">
        <f>IF(OR(B26="",C26=""),"",VLOOKUP(C26,'Conversion Table'!$A$2:$E$42,4,TRUE))</f>
        <v/>
      </c>
      <c r="J26" s="289" t="str">
        <f t="shared" si="3"/>
        <v/>
      </c>
      <c r="K26" s="290" t="str">
        <f t="shared" si="4"/>
        <v/>
      </c>
      <c r="L26" s="289" t="str">
        <f t="shared" si="5"/>
        <v/>
      </c>
      <c r="M26" s="290" t="str">
        <f t="shared" si="6"/>
        <v/>
      </c>
      <c r="N26" s="289" t="str">
        <f t="shared" si="7"/>
        <v/>
      </c>
      <c r="O26" s="290" t="str">
        <f t="shared" si="8"/>
        <v/>
      </c>
      <c r="P26" s="282" t="str">
        <f>IF(D26=1,IF(B26="","",IF(C26="","",VLOOKUP(C26,'Conversion Table'!$A$2:$E$42,5,TRUE))),"")</f>
        <v/>
      </c>
      <c r="Q26" s="293" t="str">
        <f t="shared" si="9"/>
        <v/>
      </c>
      <c r="R26" s="244" t="str">
        <f t="shared" si="10"/>
        <v/>
      </c>
    </row>
    <row r="27" spans="1:18" s="269" customFormat="1" ht="15.75" customHeight="1" thickTop="1" thickBot="1" x14ac:dyDescent="0.35">
      <c r="A27" s="270"/>
      <c r="B27" s="245">
        <f>SUBTOTAL(109,'Cond. Skim Equiv Calculation'!$B$8:$B$26)</f>
        <v>0</v>
      </c>
      <c r="C27" s="246"/>
      <c r="D27" s="247"/>
      <c r="E27" s="248"/>
      <c r="F27" s="249"/>
      <c r="G27" s="250"/>
      <c r="H27" s="248"/>
      <c r="I27" s="283"/>
      <c r="J27" s="291">
        <f>SUM(J8:J26)</f>
        <v>0</v>
      </c>
      <c r="K27" s="292">
        <f t="shared" ref="K27" si="11">SUM(K8:K26)</f>
        <v>0</v>
      </c>
      <c r="L27" s="291">
        <f>SUM(L8:L26)</f>
        <v>0</v>
      </c>
      <c r="M27" s="292">
        <f t="shared" ref="M27" si="12">SUM(M8:M26)</f>
        <v>0</v>
      </c>
      <c r="N27" s="291">
        <f>SUM(N8:N26)</f>
        <v>0</v>
      </c>
      <c r="O27" s="292">
        <f t="shared" ref="O27" si="13">SUM(O8:O26)</f>
        <v>0</v>
      </c>
      <c r="P27" s="283"/>
      <c r="Q27" s="278">
        <f>SUM(Q8:Q26)</f>
        <v>0</v>
      </c>
      <c r="R27" s="292">
        <f t="shared" ref="R27" si="14">SUM(R8:R26)</f>
        <v>0</v>
      </c>
    </row>
    <row r="28" spans="1:18" x14ac:dyDescent="0.3">
      <c r="A28" s="271"/>
      <c r="B28" s="296"/>
      <c r="C28" s="256"/>
      <c r="D28" s="256"/>
      <c r="E28" s="255"/>
      <c r="F28" s="257"/>
      <c r="G28" s="256"/>
      <c r="H28" s="255"/>
      <c r="I28" s="257"/>
      <c r="J28" s="257"/>
      <c r="K28" s="257"/>
      <c r="L28" s="257"/>
      <c r="M28" s="257"/>
      <c r="N28" s="257"/>
      <c r="O28" s="257"/>
      <c r="P28" s="459" t="s">
        <v>468</v>
      </c>
      <c r="Q28" s="460"/>
      <c r="R28" s="461"/>
    </row>
    <row r="30" spans="1:18" x14ac:dyDescent="0.3">
      <c r="B30" s="466" t="s">
        <v>476</v>
      </c>
      <c r="C30" s="467"/>
      <c r="D30" s="467"/>
      <c r="E30" s="467"/>
      <c r="F30" s="467"/>
      <c r="G30" s="467"/>
      <c r="H30" s="467"/>
      <c r="I30" s="467"/>
      <c r="J30" s="467"/>
      <c r="K30" s="468"/>
    </row>
    <row r="31" spans="1:18" ht="15" thickBot="1" x14ac:dyDescent="0.35"/>
    <row r="32" spans="1:18" ht="15" thickBot="1" x14ac:dyDescent="0.35">
      <c r="B32" s="444" t="s">
        <v>459</v>
      </c>
      <c r="C32" s="452" t="s">
        <v>460</v>
      </c>
      <c r="D32" s="452"/>
      <c r="E32" s="455" t="s">
        <v>333</v>
      </c>
      <c r="F32" s="447" t="s">
        <v>465</v>
      </c>
      <c r="G32" s="452" t="s">
        <v>334</v>
      </c>
      <c r="H32" s="444" t="s">
        <v>335</v>
      </c>
      <c r="I32" s="447" t="s">
        <v>461</v>
      </c>
      <c r="J32" s="458" t="s">
        <v>332</v>
      </c>
      <c r="K32" s="465"/>
    </row>
    <row r="33" spans="2:11" ht="15" thickBot="1" x14ac:dyDescent="0.35">
      <c r="B33" s="445"/>
      <c r="C33" s="453"/>
      <c r="D33" s="453"/>
      <c r="E33" s="456"/>
      <c r="F33" s="448"/>
      <c r="G33" s="453"/>
      <c r="H33" s="445"/>
      <c r="I33" s="448"/>
      <c r="J33" s="458"/>
      <c r="K33" s="465"/>
    </row>
    <row r="34" spans="2:11" ht="15" thickBot="1" x14ac:dyDescent="0.35">
      <c r="B34" s="446"/>
      <c r="C34" s="454"/>
      <c r="D34" s="215"/>
      <c r="E34" s="457"/>
      <c r="F34" s="449"/>
      <c r="G34" s="454"/>
      <c r="H34" s="446"/>
      <c r="I34" s="449"/>
      <c r="J34" s="216" t="s">
        <v>336</v>
      </c>
      <c r="K34" s="217" t="s">
        <v>337</v>
      </c>
    </row>
    <row r="35" spans="2:11" x14ac:dyDescent="0.3">
      <c r="B35" s="181"/>
      <c r="C35" s="206"/>
      <c r="D35" s="205"/>
      <c r="E35" s="219" t="str">
        <f t="shared" ref="E35:E53" si="15">IF(OR(B35="",C35=""),"",(C35*(B35/100)))</f>
        <v/>
      </c>
      <c r="F35" s="220" t="str">
        <f>IF(E35="","",VLOOKUP('Cond. Skim Equiv Calculation'!$C35,'Conversion Table'!$A$2:$E$42,2,TRUE))</f>
        <v/>
      </c>
      <c r="G35" s="221" t="str">
        <f>IF(E35="","",C35-F35)</f>
        <v/>
      </c>
      <c r="H35" s="222" t="str">
        <f t="shared" ref="H35:H53" si="16">IF(E35="","",B35*(G35/100))</f>
        <v/>
      </c>
      <c r="I35" s="223" t="str">
        <f>IF(OR(B35="",C35=""),"",VLOOKUP(C35,'Conversion Table'!$A$2:$E$42,4,TRUE))</f>
        <v/>
      </c>
      <c r="J35" s="224" t="str">
        <f>IF(OR(B35="",C35=""),"",I35*B35)</f>
        <v/>
      </c>
      <c r="K35" s="224" t="str">
        <f>IF(OR(B35="",C35=""),"",B35*F35/100)</f>
        <v/>
      </c>
    </row>
    <row r="36" spans="2:11" x14ac:dyDescent="0.3">
      <c r="B36" s="182"/>
      <c r="C36" s="207"/>
      <c r="D36" s="205"/>
      <c r="E36" s="226" t="str">
        <f t="shared" si="15"/>
        <v/>
      </c>
      <c r="F36" s="227" t="str">
        <f>IF(C36="","",VLOOKUP('Cond. Skim Equiv Calculation'!$C36,'Conversion Table'!$A$2:$E$42,2,TRUE))</f>
        <v/>
      </c>
      <c r="G36" s="228" t="str">
        <f t="shared" ref="G36:G53" si="17">IF(E36="","",C36-F36)</f>
        <v/>
      </c>
      <c r="H36" s="229" t="str">
        <f t="shared" si="16"/>
        <v/>
      </c>
      <c r="I36" s="230" t="str">
        <f>IF(OR(B36="",C36=""),"",VLOOKUP(C36,'Conversion Table'!$A$2:$E$42,4,TRUE))</f>
        <v/>
      </c>
      <c r="J36" s="231" t="str">
        <f t="shared" ref="J36:J53" si="18">IF(OR(B36="",C36=""),"",I36*B36)</f>
        <v/>
      </c>
      <c r="K36" s="232" t="str">
        <f t="shared" ref="K36:K53" si="19">IF(B36="","",(F36*B36/100))</f>
        <v/>
      </c>
    </row>
    <row r="37" spans="2:11" x14ac:dyDescent="0.3">
      <c r="B37" s="182"/>
      <c r="C37" s="207"/>
      <c r="D37" s="205"/>
      <c r="E37" s="234" t="str">
        <f t="shared" si="15"/>
        <v/>
      </c>
      <c r="F37" s="235" t="str">
        <f>IF(C37="","",VLOOKUP('Cond. Skim Equiv Calculation'!$C37,'Conversion Table'!$A$2:$E$42,2,TRUE))</f>
        <v/>
      </c>
      <c r="G37" s="236" t="str">
        <f t="shared" si="17"/>
        <v/>
      </c>
      <c r="H37" s="237" t="str">
        <f t="shared" si="16"/>
        <v/>
      </c>
      <c r="I37" s="238" t="str">
        <f>IF(OR(B37="",C37=""),"",VLOOKUP(C37,'Conversion Table'!$A$2:$E$42,4,TRUE))</f>
        <v/>
      </c>
      <c r="J37" s="239" t="str">
        <f t="shared" si="18"/>
        <v/>
      </c>
      <c r="K37" s="240" t="str">
        <f t="shared" si="19"/>
        <v/>
      </c>
    </row>
    <row r="38" spans="2:11" x14ac:dyDescent="0.3">
      <c r="B38" s="182"/>
      <c r="C38" s="207"/>
      <c r="D38" s="205"/>
      <c r="E38" s="226" t="str">
        <f t="shared" si="15"/>
        <v/>
      </c>
      <c r="F38" s="227" t="str">
        <f>IF(C38="","",VLOOKUP('Cond. Skim Equiv Calculation'!$C38,'Conversion Table'!$A$2:$E$42,2,TRUE))</f>
        <v/>
      </c>
      <c r="G38" s="228" t="str">
        <f t="shared" si="17"/>
        <v/>
      </c>
      <c r="H38" s="229" t="str">
        <f t="shared" si="16"/>
        <v/>
      </c>
      <c r="I38" s="242" t="str">
        <f>IF(OR(B38="",C38=""),"",VLOOKUP(C38,'Conversion Table'!$A$2:$E$42,4,TRUE))</f>
        <v/>
      </c>
      <c r="J38" s="231" t="str">
        <f t="shared" si="18"/>
        <v/>
      </c>
      <c r="K38" s="232" t="str">
        <f t="shared" si="19"/>
        <v/>
      </c>
    </row>
    <row r="39" spans="2:11" x14ac:dyDescent="0.3">
      <c r="B39" s="182"/>
      <c r="C39" s="207"/>
      <c r="D39" s="205"/>
      <c r="E39" s="234" t="str">
        <f t="shared" si="15"/>
        <v/>
      </c>
      <c r="F39" s="235" t="str">
        <f>IF(C39="","",VLOOKUP('Cond. Skim Equiv Calculation'!$C39,'Conversion Table'!$A$2:$E$42,2,TRUE))</f>
        <v/>
      </c>
      <c r="G39" s="236" t="str">
        <f t="shared" si="17"/>
        <v/>
      </c>
      <c r="H39" s="237" t="str">
        <f t="shared" si="16"/>
        <v/>
      </c>
      <c r="I39" s="243" t="str">
        <f>IF(OR(B39="",C39=""),"",VLOOKUP(C39,'Conversion Table'!$A$2:$E$42,4,TRUE))</f>
        <v/>
      </c>
      <c r="J39" s="239" t="str">
        <f t="shared" si="18"/>
        <v/>
      </c>
      <c r="K39" s="240" t="str">
        <f t="shared" si="19"/>
        <v/>
      </c>
    </row>
    <row r="40" spans="2:11" x14ac:dyDescent="0.3">
      <c r="B40" s="182"/>
      <c r="C40" s="207"/>
      <c r="D40" s="205"/>
      <c r="E40" s="226" t="str">
        <f t="shared" si="15"/>
        <v/>
      </c>
      <c r="F40" s="227" t="str">
        <f>IF(C40="","",VLOOKUP('Cond. Skim Equiv Calculation'!$C40,'Conversion Table'!$A$2:$E$42,2,TRUE))</f>
        <v/>
      </c>
      <c r="G40" s="228" t="str">
        <f t="shared" si="17"/>
        <v/>
      </c>
      <c r="H40" s="229" t="str">
        <f t="shared" si="16"/>
        <v/>
      </c>
      <c r="I40" s="242" t="str">
        <f>IF(OR(B40="",C40=""),"",VLOOKUP(C40,'Conversion Table'!$A$2:$E$42,4,TRUE))</f>
        <v/>
      </c>
      <c r="J40" s="231" t="str">
        <f t="shared" si="18"/>
        <v/>
      </c>
      <c r="K40" s="232" t="str">
        <f t="shared" si="19"/>
        <v/>
      </c>
    </row>
    <row r="41" spans="2:11" x14ac:dyDescent="0.3">
      <c r="B41" s="182"/>
      <c r="C41" s="207"/>
      <c r="D41" s="205"/>
      <c r="E41" s="234" t="str">
        <f t="shared" si="15"/>
        <v/>
      </c>
      <c r="F41" s="235" t="str">
        <f>IF(C41="","",VLOOKUP('Cond. Skim Equiv Calculation'!$C41,'Conversion Table'!$A$2:$E$42,2,TRUE))</f>
        <v/>
      </c>
      <c r="G41" s="236" t="str">
        <f t="shared" si="17"/>
        <v/>
      </c>
      <c r="H41" s="237" t="str">
        <f t="shared" si="16"/>
        <v/>
      </c>
      <c r="I41" s="243" t="str">
        <f>IF(OR(B41="",C41=""),"",VLOOKUP(C41,'Conversion Table'!$A$2:$E$42,4,TRUE))</f>
        <v/>
      </c>
      <c r="J41" s="239" t="str">
        <f t="shared" si="18"/>
        <v/>
      </c>
      <c r="K41" s="240" t="str">
        <f t="shared" si="19"/>
        <v/>
      </c>
    </row>
    <row r="42" spans="2:11" x14ac:dyDescent="0.3">
      <c r="B42" s="182"/>
      <c r="C42" s="207"/>
      <c r="D42" s="205"/>
      <c r="E42" s="226" t="str">
        <f t="shared" si="15"/>
        <v/>
      </c>
      <c r="F42" s="227" t="str">
        <f>IF(C42="","",VLOOKUP('Cond. Skim Equiv Calculation'!$C42,'Conversion Table'!$A$2:$E$42,2,TRUE))</f>
        <v/>
      </c>
      <c r="G42" s="228" t="str">
        <f t="shared" si="17"/>
        <v/>
      </c>
      <c r="H42" s="229" t="str">
        <f t="shared" si="16"/>
        <v/>
      </c>
      <c r="I42" s="242" t="str">
        <f>IF(OR(B42="",C42=""),"",VLOOKUP(C42,'Conversion Table'!$A$2:$E$42,4,TRUE))</f>
        <v/>
      </c>
      <c r="J42" s="231" t="str">
        <f t="shared" si="18"/>
        <v/>
      </c>
      <c r="K42" s="232" t="str">
        <f t="shared" si="19"/>
        <v/>
      </c>
    </row>
    <row r="43" spans="2:11" x14ac:dyDescent="0.3">
      <c r="B43" s="182"/>
      <c r="C43" s="207"/>
      <c r="D43" s="205"/>
      <c r="E43" s="234" t="str">
        <f t="shared" si="15"/>
        <v/>
      </c>
      <c r="F43" s="235" t="str">
        <f>IF(C43="","",VLOOKUP('Cond. Skim Equiv Calculation'!$C43,'Conversion Table'!$A$2:$E$42,2,TRUE))</f>
        <v/>
      </c>
      <c r="G43" s="236" t="str">
        <f t="shared" si="17"/>
        <v/>
      </c>
      <c r="H43" s="237" t="str">
        <f t="shared" si="16"/>
        <v/>
      </c>
      <c r="I43" s="243" t="str">
        <f>IF(OR(B43="",C43=""),"",VLOOKUP(C43,'Conversion Table'!$A$2:$E$42,4,TRUE))</f>
        <v/>
      </c>
      <c r="J43" s="239" t="str">
        <f t="shared" si="18"/>
        <v/>
      </c>
      <c r="K43" s="240" t="str">
        <f t="shared" si="19"/>
        <v/>
      </c>
    </row>
    <row r="44" spans="2:11" x14ac:dyDescent="0.3">
      <c r="B44" s="182"/>
      <c r="C44" s="207"/>
      <c r="D44" s="205"/>
      <c r="E44" s="226" t="str">
        <f t="shared" si="15"/>
        <v/>
      </c>
      <c r="F44" s="227" t="str">
        <f>IF(C44="","",VLOOKUP('Cond. Skim Equiv Calculation'!$C44,'Conversion Table'!$A$2:$E$42,2,TRUE))</f>
        <v/>
      </c>
      <c r="G44" s="228" t="str">
        <f t="shared" si="17"/>
        <v/>
      </c>
      <c r="H44" s="229" t="str">
        <f t="shared" si="16"/>
        <v/>
      </c>
      <c r="I44" s="242" t="str">
        <f>IF(OR(B44="",C44=""),"",VLOOKUP(C44,'Conversion Table'!$A$2:$E$42,4,TRUE))</f>
        <v/>
      </c>
      <c r="J44" s="231" t="str">
        <f t="shared" si="18"/>
        <v/>
      </c>
      <c r="K44" s="232" t="str">
        <f t="shared" si="19"/>
        <v/>
      </c>
    </row>
    <row r="45" spans="2:11" x14ac:dyDescent="0.3">
      <c r="B45" s="182"/>
      <c r="C45" s="207"/>
      <c r="D45" s="205"/>
      <c r="E45" s="234" t="str">
        <f t="shared" si="15"/>
        <v/>
      </c>
      <c r="F45" s="235" t="str">
        <f>IF(C45="","",VLOOKUP('Cond. Skim Equiv Calculation'!$C45,'Conversion Table'!$A$2:$E$42,2,TRUE))</f>
        <v/>
      </c>
      <c r="G45" s="236" t="str">
        <f t="shared" si="17"/>
        <v/>
      </c>
      <c r="H45" s="237" t="str">
        <f t="shared" si="16"/>
        <v/>
      </c>
      <c r="I45" s="243" t="str">
        <f>IF(OR(B45="",C45=""),"",VLOOKUP(C45,'Conversion Table'!$A$2:$E$42,4,TRUE))</f>
        <v/>
      </c>
      <c r="J45" s="239" t="str">
        <f t="shared" si="18"/>
        <v/>
      </c>
      <c r="K45" s="240" t="str">
        <f t="shared" si="19"/>
        <v/>
      </c>
    </row>
    <row r="46" spans="2:11" x14ac:dyDescent="0.3">
      <c r="B46" s="182"/>
      <c r="C46" s="207"/>
      <c r="D46" s="205"/>
      <c r="E46" s="226" t="str">
        <f t="shared" si="15"/>
        <v/>
      </c>
      <c r="F46" s="227" t="str">
        <f>IF(C46="","",VLOOKUP('Cond. Skim Equiv Calculation'!$C46,'Conversion Table'!$A$2:$E$42,2,TRUE))</f>
        <v/>
      </c>
      <c r="G46" s="228" t="str">
        <f t="shared" si="17"/>
        <v/>
      </c>
      <c r="H46" s="229" t="str">
        <f t="shared" si="16"/>
        <v/>
      </c>
      <c r="I46" s="242" t="str">
        <f>IF(OR(B46="",C46=""),"",VLOOKUP(C46,'Conversion Table'!$A$2:$E$42,4,TRUE))</f>
        <v/>
      </c>
      <c r="J46" s="231" t="str">
        <f t="shared" si="18"/>
        <v/>
      </c>
      <c r="K46" s="232" t="str">
        <f t="shared" si="19"/>
        <v/>
      </c>
    </row>
    <row r="47" spans="2:11" x14ac:dyDescent="0.3">
      <c r="B47" s="182"/>
      <c r="C47" s="207"/>
      <c r="D47" s="205"/>
      <c r="E47" s="234" t="str">
        <f t="shared" si="15"/>
        <v/>
      </c>
      <c r="F47" s="235" t="str">
        <f>IF(C47="","",VLOOKUP('Cond. Skim Equiv Calculation'!$C47,'Conversion Table'!$A$2:$E$42,2,TRUE))</f>
        <v/>
      </c>
      <c r="G47" s="236" t="str">
        <f t="shared" si="17"/>
        <v/>
      </c>
      <c r="H47" s="237" t="str">
        <f t="shared" si="16"/>
        <v/>
      </c>
      <c r="I47" s="243" t="str">
        <f>IF(OR(B47="",C47=""),"",VLOOKUP(C47,'Conversion Table'!$A$2:$E$42,4,TRUE))</f>
        <v/>
      </c>
      <c r="J47" s="239" t="str">
        <f t="shared" si="18"/>
        <v/>
      </c>
      <c r="K47" s="240" t="str">
        <f t="shared" si="19"/>
        <v/>
      </c>
    </row>
    <row r="48" spans="2:11" x14ac:dyDescent="0.3">
      <c r="B48" s="182"/>
      <c r="C48" s="207"/>
      <c r="D48" s="205"/>
      <c r="E48" s="226" t="str">
        <f t="shared" si="15"/>
        <v/>
      </c>
      <c r="F48" s="227" t="str">
        <f>IF(C48="","",VLOOKUP('Cond. Skim Equiv Calculation'!$C48,'Conversion Table'!$A$2:$E$42,2,TRUE))</f>
        <v/>
      </c>
      <c r="G48" s="228" t="str">
        <f t="shared" si="17"/>
        <v/>
      </c>
      <c r="H48" s="229" t="str">
        <f t="shared" si="16"/>
        <v/>
      </c>
      <c r="I48" s="242" t="str">
        <f>IF(OR(B48="",C48=""),"",VLOOKUP(C48,'Conversion Table'!$A$2:$E$42,4,TRUE))</f>
        <v/>
      </c>
      <c r="J48" s="231" t="str">
        <f t="shared" si="18"/>
        <v/>
      </c>
      <c r="K48" s="232" t="str">
        <f t="shared" si="19"/>
        <v/>
      </c>
    </row>
    <row r="49" spans="2:11" x14ac:dyDescent="0.3">
      <c r="B49" s="182"/>
      <c r="C49" s="207"/>
      <c r="D49" s="205"/>
      <c r="E49" s="234" t="str">
        <f t="shared" si="15"/>
        <v/>
      </c>
      <c r="F49" s="235" t="str">
        <f>IF(C49="","",VLOOKUP('Cond. Skim Equiv Calculation'!$C49,'Conversion Table'!$A$2:$E$42,2,TRUE))</f>
        <v/>
      </c>
      <c r="G49" s="236" t="str">
        <f t="shared" si="17"/>
        <v/>
      </c>
      <c r="H49" s="237" t="str">
        <f t="shared" si="16"/>
        <v/>
      </c>
      <c r="I49" s="243" t="str">
        <f>IF(OR(B49="",C49=""),"",VLOOKUP(C49,'Conversion Table'!$A$2:$E$42,4,TRUE))</f>
        <v/>
      </c>
      <c r="J49" s="239" t="str">
        <f t="shared" si="18"/>
        <v/>
      </c>
      <c r="K49" s="240" t="str">
        <f t="shared" si="19"/>
        <v/>
      </c>
    </row>
    <row r="50" spans="2:11" x14ac:dyDescent="0.3">
      <c r="B50" s="182"/>
      <c r="C50" s="207"/>
      <c r="D50" s="205"/>
      <c r="E50" s="226" t="str">
        <f t="shared" si="15"/>
        <v/>
      </c>
      <c r="F50" s="227" t="str">
        <f>IF(C50="","",VLOOKUP('Cond. Skim Equiv Calculation'!$C50,'Conversion Table'!$A$2:$E$42,2,TRUE))</f>
        <v/>
      </c>
      <c r="G50" s="228" t="str">
        <f t="shared" si="17"/>
        <v/>
      </c>
      <c r="H50" s="229" t="str">
        <f t="shared" si="16"/>
        <v/>
      </c>
      <c r="I50" s="242" t="str">
        <f>IF(OR(B50="",C50=""),"",VLOOKUP(C50,'Conversion Table'!$A$2:$E$42,4,TRUE))</f>
        <v/>
      </c>
      <c r="J50" s="231" t="str">
        <f t="shared" si="18"/>
        <v/>
      </c>
      <c r="K50" s="232" t="str">
        <f t="shared" si="19"/>
        <v/>
      </c>
    </row>
    <row r="51" spans="2:11" x14ac:dyDescent="0.3">
      <c r="B51" s="182"/>
      <c r="C51" s="207"/>
      <c r="D51" s="205"/>
      <c r="E51" s="234" t="str">
        <f t="shared" si="15"/>
        <v/>
      </c>
      <c r="F51" s="235" t="str">
        <f>IF(C51="","",VLOOKUP('Cond. Skim Equiv Calculation'!$C51,'Conversion Table'!$A$2:$E$42,2,TRUE))</f>
        <v/>
      </c>
      <c r="G51" s="236" t="str">
        <f t="shared" si="17"/>
        <v/>
      </c>
      <c r="H51" s="237" t="str">
        <f t="shared" si="16"/>
        <v/>
      </c>
      <c r="I51" s="243" t="str">
        <f>IF(OR(B51="",C51=""),"",VLOOKUP(C51,'Conversion Table'!$A$2:$E$42,4,TRUE))</f>
        <v/>
      </c>
      <c r="J51" s="239" t="str">
        <f t="shared" si="18"/>
        <v/>
      </c>
      <c r="K51" s="240" t="str">
        <f t="shared" si="19"/>
        <v/>
      </c>
    </row>
    <row r="52" spans="2:11" x14ac:dyDescent="0.3">
      <c r="B52" s="182"/>
      <c r="C52" s="207"/>
      <c r="D52" s="205"/>
      <c r="E52" s="226" t="str">
        <f t="shared" si="15"/>
        <v/>
      </c>
      <c r="F52" s="227" t="str">
        <f>IF(C52="","",VLOOKUP('Cond. Skim Equiv Calculation'!$C52,'Conversion Table'!$A$2:$E$42,2,TRUE))</f>
        <v/>
      </c>
      <c r="G52" s="228" t="str">
        <f t="shared" si="17"/>
        <v/>
      </c>
      <c r="H52" s="229" t="str">
        <f t="shared" si="16"/>
        <v/>
      </c>
      <c r="I52" s="242" t="str">
        <f>IF(OR(B52="",C52=""),"",VLOOKUP(C52,'Conversion Table'!$A$2:$E$42,4,TRUE))</f>
        <v/>
      </c>
      <c r="J52" s="231" t="str">
        <f t="shared" si="18"/>
        <v/>
      </c>
      <c r="K52" s="232" t="str">
        <f t="shared" si="19"/>
        <v/>
      </c>
    </row>
    <row r="53" spans="2:11" ht="15" thickBot="1" x14ac:dyDescent="0.35">
      <c r="B53" s="183"/>
      <c r="C53" s="208"/>
      <c r="D53" s="209"/>
      <c r="E53" s="234" t="str">
        <f t="shared" si="15"/>
        <v/>
      </c>
      <c r="F53" s="235" t="str">
        <f>IF(C53="","",VLOOKUP('Cond. Skim Equiv Calculation'!$C53,'Conversion Table'!$A$2:$E$42,2,TRUE))</f>
        <v/>
      </c>
      <c r="G53" s="236" t="str">
        <f t="shared" si="17"/>
        <v/>
      </c>
      <c r="H53" s="237" t="str">
        <f t="shared" si="16"/>
        <v/>
      </c>
      <c r="I53" s="243" t="str">
        <f>IF(OR(B53="",C53=""),"",VLOOKUP(C53,'Conversion Table'!$A$2:$E$42,4,TRUE))</f>
        <v/>
      </c>
      <c r="J53" s="239" t="str">
        <f t="shared" si="18"/>
        <v/>
      </c>
      <c r="K53" s="240" t="str">
        <f t="shared" si="19"/>
        <v/>
      </c>
    </row>
    <row r="54" spans="2:11" ht="15.6" thickTop="1" thickBot="1" x14ac:dyDescent="0.35">
      <c r="B54" s="245">
        <f>SUBTOTAL(109,'Cond. Skim Equiv Calculation'!$B$8:$B$26)</f>
        <v>0</v>
      </c>
      <c r="C54" s="246"/>
      <c r="D54" s="247"/>
      <c r="E54" s="248"/>
      <c r="F54" s="249"/>
      <c r="G54" s="250"/>
      <c r="H54" s="251"/>
      <c r="I54" s="252"/>
      <c r="J54" s="253">
        <f>SUM(J35:J53)</f>
        <v>0</v>
      </c>
      <c r="K54" s="254">
        <f t="shared" ref="K54" si="20">SUM(K35:K53)</f>
        <v>0</v>
      </c>
    </row>
  </sheetData>
  <mergeCells count="29">
    <mergeCell ref="P28:R28"/>
    <mergeCell ref="B3:R3"/>
    <mergeCell ref="D5:D6"/>
    <mergeCell ref="B32:B34"/>
    <mergeCell ref="C32:C34"/>
    <mergeCell ref="D32:D33"/>
    <mergeCell ref="E32:E34"/>
    <mergeCell ref="F32:F34"/>
    <mergeCell ref="G32:G34"/>
    <mergeCell ref="H32:H34"/>
    <mergeCell ref="I32:I34"/>
    <mergeCell ref="J32:K32"/>
    <mergeCell ref="J33:K33"/>
    <mergeCell ref="B30:K30"/>
    <mergeCell ref="N5:O5"/>
    <mergeCell ref="N6:O6"/>
    <mergeCell ref="L5:M5"/>
    <mergeCell ref="L6:M6"/>
    <mergeCell ref="P6:R6"/>
    <mergeCell ref="P5:R5"/>
    <mergeCell ref="J6:K6"/>
    <mergeCell ref="H5:H7"/>
    <mergeCell ref="I5:I7"/>
    <mergeCell ref="J5:K5"/>
    <mergeCell ref="C5:C7"/>
    <mergeCell ref="B5:B7"/>
    <mergeCell ref="E5:E7"/>
    <mergeCell ref="F5:F7"/>
    <mergeCell ref="G5:G7"/>
  </mergeCells>
  <dataValidations count="3">
    <dataValidation type="decimal" allowBlank="1" showErrorMessage="1" error="Please Enter a Number Between 19.50 and 60.49" sqref="C8:C26 C35:C53" xr:uid="{00000000-0002-0000-0600-000000000000}">
      <formula1>19.5</formula1>
      <formula2>60.49</formula2>
    </dataValidation>
    <dataValidation type="list" showInputMessage="1" sqref="A8:A26" xr:uid="{00000000-0002-0000-0600-000001000000}">
      <formula1>ddl_HandlerName</formula1>
    </dataValidation>
    <dataValidation allowBlank="1" showErrorMessage="1" error="Please Enter a Number Between 19.50 and 60.49" sqref="D35:D53" xr:uid="{379D1FB7-0D54-4639-AFAF-ACE8C02D5038}"/>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ErrorMessage="1" error="Please Enter a Number Between 19.50 and 60.49" xr:uid="{00000000-0002-0000-0600-000002000000}">
          <x14:formula1>
            <xm:f>DropDownList!$D$3:$D$6</xm:f>
          </x14:formula1>
          <xm:sqref>D8:D26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B19"/>
  <sheetViews>
    <sheetView workbookViewId="0">
      <selection activeCell="B20" sqref="B20"/>
    </sheetView>
  </sheetViews>
  <sheetFormatPr defaultRowHeight="14.4" x14ac:dyDescent="0.3"/>
  <cols>
    <col min="1" max="1" width="10.33203125" bestFit="1" customWidth="1"/>
    <col min="2" max="2" width="26.109375" bestFit="1" customWidth="1"/>
  </cols>
  <sheetData>
    <row r="2" spans="1:2" x14ac:dyDescent="0.3">
      <c r="A2" t="s">
        <v>452</v>
      </c>
      <c r="B2" t="s">
        <v>453</v>
      </c>
    </row>
    <row r="3" spans="1:2" x14ac:dyDescent="0.3">
      <c r="A3" s="171">
        <v>1</v>
      </c>
      <c r="B3" s="171" t="s">
        <v>437</v>
      </c>
    </row>
    <row r="4" spans="1:2" x14ac:dyDescent="0.3">
      <c r="A4" s="171">
        <v>5</v>
      </c>
      <c r="B4" s="171" t="s">
        <v>438</v>
      </c>
    </row>
    <row r="5" spans="1:2" x14ac:dyDescent="0.3">
      <c r="A5" s="171">
        <v>6</v>
      </c>
      <c r="B5" s="171" t="s">
        <v>439</v>
      </c>
    </row>
    <row r="6" spans="1:2" x14ac:dyDescent="0.3">
      <c r="A6" s="171">
        <v>7</v>
      </c>
      <c r="B6" s="171" t="s">
        <v>440</v>
      </c>
    </row>
    <row r="7" spans="1:2" x14ac:dyDescent="0.3">
      <c r="A7" s="171">
        <v>30</v>
      </c>
      <c r="B7" s="171" t="s">
        <v>441</v>
      </c>
    </row>
    <row r="8" spans="1:2" x14ac:dyDescent="0.3">
      <c r="A8" s="171">
        <v>32</v>
      </c>
      <c r="B8" s="171" t="s">
        <v>442</v>
      </c>
    </row>
    <row r="9" spans="1:2" x14ac:dyDescent="0.3">
      <c r="A9" s="171">
        <v>33</v>
      </c>
      <c r="B9" s="171" t="s">
        <v>443</v>
      </c>
    </row>
    <row r="10" spans="1:2" x14ac:dyDescent="0.3">
      <c r="A10" s="171">
        <v>51</v>
      </c>
      <c r="B10" s="171" t="s">
        <v>65</v>
      </c>
    </row>
    <row r="11" spans="1:2" x14ac:dyDescent="0.3">
      <c r="A11" s="171">
        <v>124</v>
      </c>
      <c r="B11" s="171" t="s">
        <v>444</v>
      </c>
    </row>
    <row r="12" spans="1:2" x14ac:dyDescent="0.3">
      <c r="A12" s="171">
        <v>126</v>
      </c>
      <c r="B12" s="171" t="s">
        <v>445</v>
      </c>
    </row>
    <row r="13" spans="1:2" x14ac:dyDescent="0.3">
      <c r="A13" s="171">
        <v>131</v>
      </c>
      <c r="B13" s="171" t="s">
        <v>446</v>
      </c>
    </row>
    <row r="14" spans="1:2" x14ac:dyDescent="0.3">
      <c r="A14" s="171">
        <v>555</v>
      </c>
      <c r="B14" s="171" t="s">
        <v>447</v>
      </c>
    </row>
    <row r="15" spans="1:2" x14ac:dyDescent="0.3">
      <c r="A15" s="171">
        <v>567</v>
      </c>
      <c r="B15" s="171" t="s">
        <v>448</v>
      </c>
    </row>
    <row r="16" spans="1:2" x14ac:dyDescent="0.3">
      <c r="A16" s="171">
        <v>678</v>
      </c>
      <c r="B16" s="171" t="s">
        <v>449</v>
      </c>
    </row>
    <row r="17" spans="1:2" x14ac:dyDescent="0.3">
      <c r="A17" s="171">
        <v>777</v>
      </c>
      <c r="B17" s="171" t="s">
        <v>450</v>
      </c>
    </row>
    <row r="18" spans="1:2" x14ac:dyDescent="0.3">
      <c r="A18" s="171">
        <v>888</v>
      </c>
      <c r="B18" s="171" t="s">
        <v>247</v>
      </c>
    </row>
    <row r="19" spans="1:2" x14ac:dyDescent="0.3">
      <c r="A19" s="171">
        <v>999</v>
      </c>
      <c r="B19" s="171" t="s">
        <v>451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B1:O32"/>
  <sheetViews>
    <sheetView showGridLines="0" workbookViewId="0">
      <selection activeCell="B29" sqref="B29"/>
    </sheetView>
  </sheetViews>
  <sheetFormatPr defaultColWidth="9.109375" defaultRowHeight="14.4" x14ac:dyDescent="0.3"/>
  <cols>
    <col min="1" max="1" width="1.5546875" style="91" customWidth="1"/>
    <col min="2" max="2" width="100.88671875" style="91" customWidth="1"/>
    <col min="3" max="3" width="2.33203125" style="94" bestFit="1" customWidth="1"/>
    <col min="4" max="4" width="17.44140625" style="90" bestFit="1" customWidth="1"/>
    <col min="5" max="10" width="9.109375" style="91"/>
    <col min="11" max="11" width="34.6640625" style="91" hidden="1" customWidth="1"/>
    <col min="12" max="12" width="12.5546875" style="90" hidden="1" customWidth="1"/>
    <col min="13" max="13" width="2.33203125" style="91" bestFit="1" customWidth="1"/>
    <col min="14" max="14" width="9.109375" style="91"/>
    <col min="15" max="15" width="34.6640625" style="91" bestFit="1" customWidth="1"/>
    <col min="16" max="16384" width="9.109375" style="91"/>
  </cols>
  <sheetData>
    <row r="1" spans="2:12" x14ac:dyDescent="0.3">
      <c r="K1" s="95" t="s">
        <v>130</v>
      </c>
      <c r="L1" s="96" t="s">
        <v>339</v>
      </c>
    </row>
    <row r="2" spans="2:12" ht="15.6" x14ac:dyDescent="0.3">
      <c r="B2" s="469" t="s">
        <v>341</v>
      </c>
      <c r="C2" s="470"/>
      <c r="D2" s="471"/>
      <c r="J2" s="93"/>
      <c r="K2" s="97" t="s">
        <v>137</v>
      </c>
      <c r="L2" s="98">
        <f>SUMIF(tbl_Receipts[Report Category],DropDownList!G2,tbl_Receipts[Product Pounds])</f>
        <v>0</v>
      </c>
    </row>
    <row r="3" spans="2:12" ht="15.6" x14ac:dyDescent="0.3">
      <c r="B3" s="472" t="s">
        <v>343</v>
      </c>
      <c r="C3" s="473"/>
      <c r="D3" s="474"/>
      <c r="K3" s="97" t="s">
        <v>140</v>
      </c>
      <c r="L3" s="98">
        <f>SUMIF(tbl_Receipts[Report Category],DropDownList!G3,tbl_Receipts[Product Pounds])</f>
        <v>0</v>
      </c>
    </row>
    <row r="4" spans="2:12" ht="15.6" x14ac:dyDescent="0.3">
      <c r="B4" s="475" t="s">
        <v>344</v>
      </c>
      <c r="C4" s="476"/>
      <c r="D4" s="477"/>
      <c r="K4" s="99" t="s">
        <v>142</v>
      </c>
      <c r="L4" s="100"/>
    </row>
    <row r="5" spans="2:12" ht="15.6" x14ac:dyDescent="0.3">
      <c r="K5" s="99" t="s">
        <v>143</v>
      </c>
      <c r="L5" s="100"/>
    </row>
    <row r="6" spans="2:12" ht="15.6" x14ac:dyDescent="0.3">
      <c r="B6" s="101" t="s">
        <v>345</v>
      </c>
      <c r="D6" s="102" t="s">
        <v>163</v>
      </c>
      <c r="K6" s="97" t="s">
        <v>145</v>
      </c>
      <c r="L6" s="98">
        <f>SUMIF(tbl_Receipts[Report Category],DropDownList!G6,tbl_Receipts[Product Pounds])</f>
        <v>0</v>
      </c>
    </row>
    <row r="7" spans="2:12" ht="15.6" x14ac:dyDescent="0.3">
      <c r="B7" s="91" t="s">
        <v>346</v>
      </c>
      <c r="C7" s="103" t="s">
        <v>340</v>
      </c>
      <c r="D7" s="104">
        <f>L17</f>
        <v>0</v>
      </c>
      <c r="K7" s="97" t="s">
        <v>148</v>
      </c>
      <c r="L7" s="98">
        <f>SUMIF(tbl_Receipts[Report Category],DropDownList!G7,tbl_Receipts[Product Pounds])</f>
        <v>0</v>
      </c>
    </row>
    <row r="8" spans="2:12" ht="15.6" x14ac:dyDescent="0.3">
      <c r="B8" s="91" t="s">
        <v>347</v>
      </c>
      <c r="D8" s="104">
        <f>SUMIF(tbl_Utilization[Report Category],DropDownList!M2,tbl_Utilization[Product Pounds])+SUMIF(tbl_Utilization[Report Category],DropDownList!M3,tbl_Utilization[Product Pounds])</f>
        <v>0</v>
      </c>
      <c r="K8" s="99" t="s">
        <v>150</v>
      </c>
      <c r="L8" s="100"/>
    </row>
    <row r="9" spans="2:12" x14ac:dyDescent="0.3">
      <c r="B9" s="91" t="s">
        <v>348</v>
      </c>
      <c r="C9" s="103" t="s">
        <v>349</v>
      </c>
      <c r="D9" s="105">
        <f>D7-D8</f>
        <v>0</v>
      </c>
      <c r="K9" s="106" t="s">
        <v>190</v>
      </c>
      <c r="L9" s="100"/>
    </row>
    <row r="10" spans="2:12" ht="15.6" x14ac:dyDescent="0.3">
      <c r="K10" s="99" t="s">
        <v>152</v>
      </c>
      <c r="L10" s="100"/>
    </row>
    <row r="11" spans="2:12" x14ac:dyDescent="0.3">
      <c r="B11" s="101" t="s">
        <v>350</v>
      </c>
      <c r="K11" s="106" t="s">
        <v>189</v>
      </c>
      <c r="L11" s="100"/>
    </row>
    <row r="12" spans="2:12" ht="15.6" x14ac:dyDescent="0.3">
      <c r="B12" s="91" t="s">
        <v>351</v>
      </c>
      <c r="D12" s="104">
        <f>'Total Area Sales'!C11</f>
        <v>0</v>
      </c>
      <c r="K12" s="97" t="s">
        <v>155</v>
      </c>
      <c r="L12" s="98">
        <f>SUMIF(tbl_Receipts[Report Category],DropDownList!G12,tbl_Receipts[Product Pounds])</f>
        <v>0</v>
      </c>
    </row>
    <row r="13" spans="2:12" ht="15.6" x14ac:dyDescent="0.3">
      <c r="B13" s="91" t="s">
        <v>352</v>
      </c>
      <c r="D13" s="104">
        <f>SUMIF(tbl_Utilization[Report Category],DropDownList!M14,tbl_Utilization[Product Pounds])</f>
        <v>0</v>
      </c>
      <c r="K13" s="97" t="s">
        <v>157</v>
      </c>
      <c r="L13" s="98">
        <f>SUMIF(tbl_Receipts[Report Category],DropDownList!#REF!,tbl_Receipts[Product Pounds])</f>
        <v>0</v>
      </c>
    </row>
    <row r="14" spans="2:12" ht="15.6" x14ac:dyDescent="0.3">
      <c r="B14" s="91" t="s">
        <v>348</v>
      </c>
      <c r="C14" s="103" t="s">
        <v>353</v>
      </c>
      <c r="D14" s="104">
        <f>SUM(D12:D13)</f>
        <v>0</v>
      </c>
      <c r="K14" s="97" t="s">
        <v>159</v>
      </c>
      <c r="L14" s="98">
        <f>SUMIF(tbl_Receipts[Report Category],DropDownList!G13,tbl_Receipts[Product Pounds])</f>
        <v>0</v>
      </c>
    </row>
    <row r="15" spans="2:12" ht="15.6" x14ac:dyDescent="0.3">
      <c r="K15" s="97" t="s">
        <v>153</v>
      </c>
      <c r="L15" s="98">
        <f>SUMIFS(tbl_Receipts[Product Pounds],tbl_Receipts[Report Category],DropDownList!G14,tbl_Receipts[Product 
Code],DropDownList!K5)</f>
        <v>0</v>
      </c>
    </row>
    <row r="16" spans="2:12" ht="15.6" x14ac:dyDescent="0.3">
      <c r="B16" s="91" t="s">
        <v>354</v>
      </c>
      <c r="D16" s="104">
        <f>'Total Area Sales'!C10+(SUMIF(tbl_Utilization[Report Category],DropDownList!M14,tbl_Utilization[Product Pounds])-SUMIFS(tbl_Utilization[Product Pounds],tbl_Utilization[Report Category],DropDownList!M14,tbl_Utilization[To
Order No.],rng_Order))</f>
        <v>0</v>
      </c>
      <c r="K16" s="97" t="s">
        <v>156</v>
      </c>
      <c r="L16" s="98">
        <f>SUMIF(tbl_Receipts[Report Category],DropDownList!G15,tbl_Receipts[Product Pounds])</f>
        <v>0</v>
      </c>
    </row>
    <row r="17" spans="2:15" ht="15.6" x14ac:dyDescent="0.3">
      <c r="B17" s="91" t="s">
        <v>355</v>
      </c>
      <c r="C17" s="103" t="s">
        <v>356</v>
      </c>
      <c r="D17" s="105">
        <f>D14-D16</f>
        <v>0</v>
      </c>
      <c r="K17" s="107" t="s">
        <v>357</v>
      </c>
      <c r="L17" s="98">
        <f>SUM(L2:L16)</f>
        <v>0</v>
      </c>
    </row>
    <row r="19" spans="2:15" ht="15.6" x14ac:dyDescent="0.3">
      <c r="K19" s="97" t="s">
        <v>358</v>
      </c>
      <c r="L19" s="98">
        <f>SUMIF(tbl_Utilization[Report Category],DropDownList!M2,tbl_Utilization[Product Pounds])+SUMIF(tbl_Utilization[Report Category],DropDownList!M3,tbl_Utilization[Product Pounds])</f>
        <v>0</v>
      </c>
    </row>
    <row r="20" spans="2:15" x14ac:dyDescent="0.3">
      <c r="B20" s="91" t="s">
        <v>359</v>
      </c>
      <c r="D20" s="108" t="str">
        <f>IF(AND(D17=0,D14=0),"",D17/D14)</f>
        <v/>
      </c>
      <c r="E20" s="91" t="s">
        <v>342</v>
      </c>
    </row>
    <row r="21" spans="2:15" x14ac:dyDescent="0.3">
      <c r="B21" s="91" t="s">
        <v>360</v>
      </c>
      <c r="D21" s="108" t="str">
        <f>IF(AND(D14=0,D9=0),"",D14/D9)</f>
        <v/>
      </c>
      <c r="E21" s="91" t="s">
        <v>361</v>
      </c>
      <c r="K21" s="167" t="s">
        <v>432</v>
      </c>
      <c r="L21" s="168" t="s">
        <v>339</v>
      </c>
    </row>
    <row r="22" spans="2:15" x14ac:dyDescent="0.3">
      <c r="B22" s="92" t="s">
        <v>362</v>
      </c>
      <c r="K22" s="66" t="s">
        <v>258</v>
      </c>
      <c r="L22" s="98">
        <f>SUMIF(tbl_Utilization[Report Category],DropDownList!M14,tbl_Utilization[Product Pounds])</f>
        <v>0</v>
      </c>
    </row>
    <row r="23" spans="2:15" x14ac:dyDescent="0.3">
      <c r="B23" s="92" t="s">
        <v>363</v>
      </c>
      <c r="K23" s="170" t="s">
        <v>435</v>
      </c>
      <c r="L23" s="98">
        <f>(SUMIF(tbl_Utilization[Report Category],DropDownList!M2,tbl_Utilization[Product Pounds]))+(SUMIF(tbl_Utilization[Report Category],DropDownList!M3,tbl_Utilization[Product Pounds]))</f>
        <v>0</v>
      </c>
    </row>
    <row r="24" spans="2:15" x14ac:dyDescent="0.3">
      <c r="K24" s="170" t="s">
        <v>436</v>
      </c>
      <c r="L24" s="98">
        <f>(SUMIFS(tbl_Utilization[Product Pounds],tbl_Utilization[Report Category],DropDownList!M2,tbl_Utilization[To
Order No.],rng_Order))+(SUMIFS(tbl_Utilization[Product Pounds],tbl_Utilization[Report Category],DropDownList!M3,tbl_Utilization[To
Order No.],rng_Order))</f>
        <v>0</v>
      </c>
      <c r="O24" s="164"/>
    </row>
    <row r="25" spans="2:15" x14ac:dyDescent="0.3">
      <c r="B25" s="478" t="s">
        <v>364</v>
      </c>
      <c r="C25" s="479"/>
      <c r="D25" s="480"/>
      <c r="K25" s="165"/>
    </row>
    <row r="26" spans="2:15" x14ac:dyDescent="0.3">
      <c r="C26" s="91"/>
      <c r="D26" s="91"/>
      <c r="K26" s="165"/>
    </row>
    <row r="27" spans="2:15" x14ac:dyDescent="0.3">
      <c r="B27" s="91" t="s">
        <v>365</v>
      </c>
      <c r="C27" s="103" t="s">
        <v>366</v>
      </c>
      <c r="D27" s="110">
        <f>SUMIF(tbl_Receipts[Product Class],DropDownList!D2,tbl_Receipts[Product Pounds])</f>
        <v>0</v>
      </c>
      <c r="K27" s="165"/>
    </row>
    <row r="28" spans="2:15" x14ac:dyDescent="0.3">
      <c r="B28" s="91" t="s">
        <v>367</v>
      </c>
      <c r="C28" s="103" t="s">
        <v>368</v>
      </c>
      <c r="D28" s="104">
        <f>(SUMIF(tbl_Utilization[Report Category],DropDownList!M2,tbl_Utilization[Product Pounds]))+(SUMIF(tbl_Utilization[Report Category],DropDownList!M3,tbl_Utilization[Product Pounds]))-(SUMIFS(tbl_Utilization[Product Pounds],tbl_Utilization[Report Category],DropDownList!M2,tbl_Utilization[To
Order No.],rng_Order))+(SUMIFS(tbl_Utilization[Product Pounds],tbl_Utilization[Report Category],DropDownList!M3,tbl_Utilization[To
Order No.],rng_Order))</f>
        <v>0</v>
      </c>
      <c r="E28" s="91" t="s">
        <v>369</v>
      </c>
      <c r="K28" s="166" t="s">
        <v>434</v>
      </c>
      <c r="L28" s="98">
        <f>rng_Order</f>
        <v>51</v>
      </c>
    </row>
    <row r="29" spans="2:15" x14ac:dyDescent="0.3">
      <c r="B29" s="91" t="s">
        <v>370</v>
      </c>
      <c r="D29" s="108" t="str">
        <f>IF(OR(D27="",D27=0),"",D28/D27)</f>
        <v/>
      </c>
      <c r="K29" s="169" t="s">
        <v>433</v>
      </c>
      <c r="L29" s="98">
        <f>SUMIFS(tbl_Utilization[Product Pounds],tbl_Utilization[Report Category],DropDownList!M14,tbl_Utilization[To
Order No.],rng_Order)</f>
        <v>0</v>
      </c>
    </row>
    <row r="30" spans="2:15" x14ac:dyDescent="0.3">
      <c r="B30" s="91" t="s">
        <v>371</v>
      </c>
    </row>
    <row r="31" spans="2:15" x14ac:dyDescent="0.3">
      <c r="K31" s="109"/>
    </row>
    <row r="32" spans="2:15" x14ac:dyDescent="0.3">
      <c r="K32" s="109"/>
    </row>
  </sheetData>
  <sheetProtection sheet="1" objects="1" scenarios="1"/>
  <mergeCells count="4">
    <mergeCell ref="B2:D2"/>
    <mergeCell ref="B3:D3"/>
    <mergeCell ref="B4:D4"/>
    <mergeCell ref="B25:D25"/>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40</vt:i4>
      </vt:variant>
    </vt:vector>
  </HeadingPairs>
  <TitlesOfParts>
    <vt:vector size="52" baseType="lpstr">
      <vt:lpstr>Version</vt:lpstr>
      <vt:lpstr>Summary</vt:lpstr>
      <vt:lpstr>Receipts</vt:lpstr>
      <vt:lpstr>Utilization</vt:lpstr>
      <vt:lpstr>Total Area Sales</vt:lpstr>
      <vt:lpstr>Accountability for NFDM</vt:lpstr>
      <vt:lpstr>Cond. Skim Equiv Calculation</vt:lpstr>
      <vt:lpstr>FO Codes</vt:lpstr>
      <vt:lpstr>Qualifications</vt:lpstr>
      <vt:lpstr>Orders</vt:lpstr>
      <vt:lpstr>DropDownList</vt:lpstr>
      <vt:lpstr>Conversion Table</vt:lpstr>
      <vt:lpstr>CoopProductCode</vt:lpstr>
      <vt:lpstr>ddl_FederalOrder</vt:lpstr>
      <vt:lpstr>ddl_HandlerName</vt:lpstr>
      <vt:lpstr>ddl_ProductClass</vt:lpstr>
      <vt:lpstr>MONTH</vt:lpstr>
      <vt:lpstr>package</vt:lpstr>
      <vt:lpstr>Receipts!Print_Area</vt:lpstr>
      <vt:lpstr>'Total Area Sales'!Print_Area</vt:lpstr>
      <vt:lpstr>Utilization!Print_Area</vt:lpstr>
      <vt:lpstr>Receipts_ProductCode</vt:lpstr>
      <vt:lpstr>Receipts_ProductCodeCoop</vt:lpstr>
      <vt:lpstr>Receipts_ProductType</vt:lpstr>
      <vt:lpstr>Receipts_ProductTypeCoop</vt:lpstr>
      <vt:lpstr>Receipts_ReportCategory</vt:lpstr>
      <vt:lpstr>Receipts_ReportCategoryCoop</vt:lpstr>
      <vt:lpstr>rng_Handler</vt:lpstr>
      <vt:lpstr>rng_Order</vt:lpstr>
      <vt:lpstr>rng_Orders</vt:lpstr>
      <vt:lpstr>rng_PoolEmail</vt:lpstr>
      <vt:lpstr>rng_ShrinkOverage_FP</vt:lpstr>
      <vt:lpstr>rng_ShrinkOverage_PP</vt:lpstr>
      <vt:lpstr>rng_TotalReceipts_FP</vt:lpstr>
      <vt:lpstr>rng_TotalReceipts_OSP</vt:lpstr>
      <vt:lpstr>rng_TotalReceipts_SCCV</vt:lpstr>
      <vt:lpstr>rng_TotalReceipts_TPP</vt:lpstr>
      <vt:lpstr>rng_TotalReceiptsPP</vt:lpstr>
      <vt:lpstr>rng_TotalUtilization_FP</vt:lpstr>
      <vt:lpstr>rng_TotalUtilization_OSP</vt:lpstr>
      <vt:lpstr>rng_TotalUtilization_SCCV</vt:lpstr>
      <vt:lpstr>rng_TotalUtilization_TPP</vt:lpstr>
      <vt:lpstr>rng_TotalUtilzation_PP</vt:lpstr>
      <vt:lpstr>rng_UPL_Code</vt:lpstr>
      <vt:lpstr>Route_Order</vt:lpstr>
      <vt:lpstr>Utilization_ProductCode</vt:lpstr>
      <vt:lpstr>Utilization_ProductCodeCoop</vt:lpstr>
      <vt:lpstr>Utilization_ProductType</vt:lpstr>
      <vt:lpstr>Utilization_ProductTypeCoop</vt:lpstr>
      <vt:lpstr>Utilization_ReportCategory</vt:lpstr>
      <vt:lpstr>Utilization_ReportCategoryCoop</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ATG</dc:creator>
  <cp:lastModifiedBy>Simon Martinez-Poque</cp:lastModifiedBy>
  <cp:lastPrinted>2018-09-07T14:14:32Z</cp:lastPrinted>
  <dcterms:created xsi:type="dcterms:W3CDTF">2018-03-29T18:52:25Z</dcterms:created>
  <dcterms:modified xsi:type="dcterms:W3CDTF">2019-12-12T22:48:18Z</dcterms:modified>
</cp:coreProperties>
</file>